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drawings/drawing2.xml" ContentType="application/vnd.openxmlformats-officedocument.drawing+xml"/>
  <Override PartName="/xl/tables/table6.xml" ContentType="application/vnd.openxmlformats-officedocument.spreadsheetml.tab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10006516\Downloads\"/>
    </mc:Choice>
  </mc:AlternateContent>
  <xr:revisionPtr revIDLastSave="0" documentId="8_{A2F69E88-FF3C-49D2-9A8F-B8D0358AC02A}" xr6:coauthVersionLast="47" xr6:coauthVersionMax="47" xr10:uidLastSave="{00000000-0000-0000-0000-000000000000}"/>
  <bookViews>
    <workbookView xWindow="-120" yWindow="-120" windowWidth="38640" windowHeight="21120" xr2:uid="{7D94A827-EB31-4FB8-9D5F-0A3B4C30D39C}"/>
  </bookViews>
  <sheets>
    <sheet name="Dashboard" sheetId="1" r:id="rId1"/>
    <sheet name="Transactions" sheetId="2" r:id="rId2"/>
    <sheet name="Monthly Budget" sheetId="3" r:id="rId3"/>
    <sheet name="Categories" sheetId="4" r:id="rId4"/>
    <sheet name="Recurring Expenses" sheetId="5" r:id="rId5"/>
    <sheet name="Savings &amp; Goals" sheetId="6" r:id="rId6"/>
    <sheet name="Yearly Overview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45" i="1" l="1"/>
  <c r="A44" i="1"/>
  <c r="A43" i="1"/>
  <c r="AH20" i="1"/>
  <c r="AH19" i="1"/>
  <c r="AH18" i="1"/>
  <c r="AH17" i="1"/>
  <c r="AH16" i="1"/>
  <c r="AH15" i="1"/>
  <c r="AH14" i="1"/>
  <c r="AH13" i="1"/>
  <c r="AH12" i="1"/>
  <c r="AH11" i="1"/>
  <c r="AH10" i="1"/>
  <c r="AH9" i="1"/>
  <c r="AH8" i="1"/>
  <c r="AH7" i="1"/>
  <c r="AH6" i="1"/>
  <c r="AH5" i="1"/>
  <c r="AG6" i="1"/>
  <c r="AG5" i="1"/>
  <c r="AC16" i="1"/>
  <c r="AB16" i="1"/>
  <c r="AD16" i="1" s="1"/>
  <c r="AA16" i="1"/>
  <c r="AC15" i="1"/>
  <c r="AB15" i="1"/>
  <c r="AD15" i="1" s="1"/>
  <c r="AA15" i="1"/>
  <c r="AC14" i="1"/>
  <c r="AB14" i="1"/>
  <c r="AD14" i="1" s="1"/>
  <c r="AA14" i="1"/>
  <c r="AC13" i="1"/>
  <c r="AB13" i="1"/>
  <c r="AD13" i="1" s="1"/>
  <c r="AA13" i="1"/>
  <c r="AC12" i="1"/>
  <c r="AB12" i="1"/>
  <c r="AD12" i="1" s="1"/>
  <c r="AA12" i="1"/>
  <c r="AC11" i="1"/>
  <c r="AB11" i="1"/>
  <c r="AD11" i="1" s="1"/>
  <c r="AA11" i="1"/>
  <c r="AC10" i="1"/>
  <c r="AB10" i="1"/>
  <c r="AD10" i="1" s="1"/>
  <c r="AA10" i="1"/>
  <c r="AC9" i="1"/>
  <c r="AB9" i="1"/>
  <c r="AD9" i="1" s="1"/>
  <c r="AA9" i="1"/>
  <c r="AC8" i="1"/>
  <c r="AB8" i="1"/>
  <c r="AD8" i="1" s="1"/>
  <c r="AA8" i="1"/>
  <c r="AC7" i="1"/>
  <c r="AB7" i="1"/>
  <c r="AD7" i="1" s="1"/>
  <c r="AA7" i="1"/>
  <c r="AC6" i="1"/>
  <c r="AB6" i="1"/>
  <c r="AD6" i="1" s="1"/>
  <c r="AA6" i="1"/>
  <c r="AC5" i="1"/>
  <c r="AB5" i="1"/>
  <c r="AD5" i="1" s="1"/>
  <c r="AA5" i="1"/>
  <c r="Z20" i="1"/>
  <c r="Y20" i="1"/>
  <c r="Z19" i="1"/>
  <c r="Y19" i="1"/>
  <c r="Z18" i="1"/>
  <c r="Y18" i="1"/>
  <c r="Z17" i="1"/>
  <c r="Y17" i="1"/>
  <c r="Z16" i="1"/>
  <c r="Y16" i="1"/>
  <c r="Z15" i="1"/>
  <c r="Y15" i="1"/>
  <c r="Z14" i="1"/>
  <c r="Y14" i="1"/>
  <c r="Z13" i="1"/>
  <c r="Y13" i="1"/>
  <c r="Z12" i="1"/>
  <c r="Y12" i="1"/>
  <c r="Z11" i="1"/>
  <c r="Y11" i="1"/>
  <c r="Z10" i="1"/>
  <c r="Y10" i="1"/>
  <c r="Z9" i="1"/>
  <c r="Y9" i="1"/>
  <c r="Z8" i="1"/>
  <c r="Y8" i="1"/>
  <c r="Z7" i="1"/>
  <c r="Y7" i="1"/>
  <c r="Z6" i="1"/>
  <c r="Y6" i="1"/>
  <c r="Z5" i="1"/>
  <c r="Y5" i="1"/>
  <c r="D6" i="1"/>
  <c r="S6" i="1" s="1"/>
  <c r="A6" i="1"/>
  <c r="J6" i="1" s="1"/>
  <c r="M6" i="1" s="1"/>
  <c r="F18" i="7"/>
  <c r="G16" i="7"/>
  <c r="F16" i="7"/>
  <c r="C16" i="7"/>
  <c r="B16" i="7"/>
  <c r="D16" i="7" s="1"/>
  <c r="E16" i="7" s="1"/>
  <c r="A16" i="7"/>
  <c r="F15" i="7"/>
  <c r="C15" i="7"/>
  <c r="D15" i="7" s="1"/>
  <c r="E15" i="7" s="1"/>
  <c r="B15" i="7"/>
  <c r="A15" i="7"/>
  <c r="G14" i="7"/>
  <c r="F14" i="7"/>
  <c r="D14" i="7"/>
  <c r="E14" i="7" s="1"/>
  <c r="C14" i="7"/>
  <c r="B14" i="7"/>
  <c r="A14" i="7"/>
  <c r="F13" i="7"/>
  <c r="C13" i="7"/>
  <c r="G13" i="7" s="1"/>
  <c r="B13" i="7"/>
  <c r="D13" i="7" s="1"/>
  <c r="E13" i="7" s="1"/>
  <c r="A13" i="7"/>
  <c r="G12" i="7"/>
  <c r="F12" i="7"/>
  <c r="C12" i="7"/>
  <c r="B12" i="7"/>
  <c r="D12" i="7" s="1"/>
  <c r="E12" i="7" s="1"/>
  <c r="A12" i="7"/>
  <c r="G11" i="7"/>
  <c r="F11" i="7"/>
  <c r="C11" i="7"/>
  <c r="D11" i="7" s="1"/>
  <c r="E11" i="7" s="1"/>
  <c r="B11" i="7"/>
  <c r="A11" i="7"/>
  <c r="F10" i="7"/>
  <c r="C10" i="7"/>
  <c r="G10" i="7" s="1"/>
  <c r="B10" i="7"/>
  <c r="B18" i="7" s="1"/>
  <c r="A10" i="7"/>
  <c r="G9" i="7"/>
  <c r="F9" i="7"/>
  <c r="C9" i="7"/>
  <c r="B9" i="7"/>
  <c r="D9" i="7" s="1"/>
  <c r="E9" i="7" s="1"/>
  <c r="A9" i="7"/>
  <c r="F8" i="7"/>
  <c r="C8" i="7"/>
  <c r="G8" i="7" s="1"/>
  <c r="B8" i="7"/>
  <c r="D8" i="7" s="1"/>
  <c r="E8" i="7" s="1"/>
  <c r="A8" i="7"/>
  <c r="G7" i="7"/>
  <c r="F7" i="7"/>
  <c r="C7" i="7"/>
  <c r="D7" i="7" s="1"/>
  <c r="E7" i="7" s="1"/>
  <c r="B7" i="7"/>
  <c r="A7" i="7"/>
  <c r="F6" i="7"/>
  <c r="C6" i="7"/>
  <c r="G6" i="7" s="1"/>
  <c r="B6" i="7"/>
  <c r="D6" i="7" s="1"/>
  <c r="E6" i="7" s="1"/>
  <c r="A6" i="7"/>
  <c r="F5" i="7"/>
  <c r="C5" i="7"/>
  <c r="G5" i="7" s="1"/>
  <c r="B5" i="7"/>
  <c r="D5" i="7" s="1"/>
  <c r="E5" i="7" s="1"/>
  <c r="A5" i="7"/>
  <c r="H9" i="6"/>
  <c r="H8" i="6"/>
  <c r="H7" i="6"/>
  <c r="H6" i="6"/>
  <c r="G9" i="6"/>
  <c r="G8" i="6"/>
  <c r="G7" i="6"/>
  <c r="G6" i="6"/>
  <c r="F9" i="6"/>
  <c r="F8" i="6"/>
  <c r="F7" i="6"/>
  <c r="F6" i="6"/>
  <c r="H5" i="6"/>
  <c r="G5" i="6"/>
  <c r="F5" i="6"/>
  <c r="C3" i="5"/>
  <c r="A3" i="5"/>
  <c r="K10" i="5"/>
  <c r="K9" i="5"/>
  <c r="K8" i="5"/>
  <c r="K7" i="5"/>
  <c r="J10" i="5"/>
  <c r="J9" i="5"/>
  <c r="J8" i="5"/>
  <c r="J7" i="5"/>
  <c r="I10" i="5" a="1"/>
  <c r="I10" i="5" s="1"/>
  <c r="I9" i="5" a="1"/>
  <c r="I9" i="5" s="1"/>
  <c r="I8" i="5" a="1"/>
  <c r="I8" i="5" s="1"/>
  <c r="I7" i="5" a="1"/>
  <c r="I7" i="5" s="1"/>
  <c r="K6" i="5"/>
  <c r="J6" i="5"/>
  <c r="I6" i="5" a="1"/>
  <c r="I6" i="5" s="1"/>
  <c r="B22" i="3"/>
  <c r="B2" i="3"/>
  <c r="C16" i="3" s="1"/>
  <c r="L45" i="2"/>
  <c r="L44" i="2"/>
  <c r="L43" i="2"/>
  <c r="L42" i="2"/>
  <c r="L41" i="2"/>
  <c r="L40" i="2"/>
  <c r="L39" i="2"/>
  <c r="L38" i="2"/>
  <c r="L37" i="2"/>
  <c r="L36" i="2"/>
  <c r="L35" i="2"/>
  <c r="L34" i="2"/>
  <c r="L33" i="2"/>
  <c r="L32" i="2"/>
  <c r="L31" i="2"/>
  <c r="L30" i="2"/>
  <c r="L29" i="2"/>
  <c r="L28" i="2"/>
  <c r="L27" i="2"/>
  <c r="L26" i="2"/>
  <c r="L25" i="2"/>
  <c r="L24" i="2"/>
  <c r="L23" i="2"/>
  <c r="L22" i="2"/>
  <c r="L21" i="2"/>
  <c r="L20" i="2"/>
  <c r="L19" i="2"/>
  <c r="L18" i="2"/>
  <c r="L17" i="2"/>
  <c r="L16" i="2"/>
  <c r="L15" i="2"/>
  <c r="L14" i="2"/>
  <c r="L13" i="2"/>
  <c r="L12" i="2"/>
  <c r="L11" i="2"/>
  <c r="L10" i="2"/>
  <c r="L9" i="2"/>
  <c r="L8" i="2"/>
  <c r="L7" i="2"/>
  <c r="L6" i="2"/>
  <c r="L5" i="2"/>
  <c r="A46" i="1" l="1"/>
  <c r="A47" i="1"/>
  <c r="D18" i="7"/>
  <c r="E18" i="7" s="1"/>
  <c r="D10" i="7"/>
  <c r="E10" i="7" s="1"/>
  <c r="G15" i="7"/>
  <c r="G6" i="1"/>
  <c r="C18" i="7"/>
  <c r="G18" i="7" s="1"/>
  <c r="P6" i="1"/>
  <c r="C17" i="3"/>
  <c r="D17" i="3" s="1"/>
  <c r="D16" i="3"/>
  <c r="E16" i="3"/>
  <c r="F16" i="3" s="1"/>
  <c r="C19" i="3"/>
  <c r="C20" i="3"/>
  <c r="C7" i="3"/>
  <c r="C8" i="3"/>
  <c r="C18" i="3"/>
  <c r="C5" i="3"/>
  <c r="C11" i="3"/>
  <c r="C9" i="3"/>
  <c r="C12" i="3"/>
  <c r="C13" i="3"/>
  <c r="C6" i="3"/>
  <c r="C14" i="3"/>
  <c r="C15" i="3"/>
  <c r="C10" i="3"/>
  <c r="E17" i="3" l="1"/>
  <c r="F17" i="3" s="1"/>
  <c r="D6" i="3"/>
  <c r="E6" i="3"/>
  <c r="F6" i="3" s="1"/>
  <c r="E12" i="3"/>
  <c r="F12" i="3" s="1"/>
  <c r="D12" i="3"/>
  <c r="D9" i="3"/>
  <c r="E9" i="3"/>
  <c r="F9" i="3" s="1"/>
  <c r="D13" i="3"/>
  <c r="E13" i="3"/>
  <c r="F13" i="3" s="1"/>
  <c r="E5" i="3"/>
  <c r="F5" i="3" s="1"/>
  <c r="C22" i="3"/>
  <c r="D5" i="3"/>
  <c r="D8" i="3"/>
  <c r="E8" i="3"/>
  <c r="F8" i="3" s="1"/>
  <c r="D15" i="3"/>
  <c r="E15" i="3"/>
  <c r="F15" i="3" s="1"/>
  <c r="E7" i="3"/>
  <c r="F7" i="3" s="1"/>
  <c r="D7" i="3"/>
  <c r="E20" i="3"/>
  <c r="F20" i="3" s="1"/>
  <c r="D20" i="3"/>
  <c r="D14" i="3"/>
  <c r="E14" i="3"/>
  <c r="F14" i="3" s="1"/>
  <c r="E11" i="3"/>
  <c r="F11" i="3" s="1"/>
  <c r="D11" i="3"/>
  <c r="D19" i="3"/>
  <c r="E19" i="3"/>
  <c r="F19" i="3" s="1"/>
  <c r="E18" i="3"/>
  <c r="F18" i="3" s="1"/>
  <c r="D18" i="3"/>
  <c r="D10" i="3"/>
  <c r="E10" i="3"/>
  <c r="F10" i="3" s="1"/>
  <c r="E22" i="3" l="1"/>
  <c r="F22" i="3" s="1"/>
  <c r="D22" i="3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<sst xmlns="http://schemas.openxmlformats.org/spreadsheetml/2006/main" count="705" uniqueCount="187">
  <si>
    <t>CATEGORY &amp; SUBCATEGORY MANAGER</t>
  </si>
  <si>
    <t>Edit or extend this list. Categories power transaction and budget dropdowns.</t>
  </si>
  <si>
    <t>Category</t>
  </si>
  <si>
    <t>Subcategory</t>
  </si>
  <si>
    <t>Type</t>
  </si>
  <si>
    <t>Cost Class</t>
  </si>
  <si>
    <t>Housing</t>
  </si>
  <si>
    <t>Rent / Mortgage</t>
  </si>
  <si>
    <t>Expense</t>
  </si>
  <si>
    <t>Fixed</t>
  </si>
  <si>
    <t>Property Tax</t>
  </si>
  <si>
    <t>Repairs</t>
  </si>
  <si>
    <t>Variable</t>
  </si>
  <si>
    <t>Utilities</t>
  </si>
  <si>
    <t>Electricity</t>
  </si>
  <si>
    <t>Water</t>
  </si>
  <si>
    <t>Internet</t>
  </si>
  <si>
    <t>Mobile</t>
  </si>
  <si>
    <t>Groceries</t>
  </si>
  <si>
    <t>Supermarket</t>
  </si>
  <si>
    <t>Household Supplies</t>
  </si>
  <si>
    <t>Restaurants &amp; Takeaway</t>
  </si>
  <si>
    <t>Dining Out</t>
  </si>
  <si>
    <t>Takeaway</t>
  </si>
  <si>
    <t>Transportation</t>
  </si>
  <si>
    <t>Public Transit</t>
  </si>
  <si>
    <t>Fuel</t>
  </si>
  <si>
    <t>Car</t>
  </si>
  <si>
    <t>Maintenance</t>
  </si>
  <si>
    <t>Registration</t>
  </si>
  <si>
    <t>Health</t>
  </si>
  <si>
    <t>Medical</t>
  </si>
  <si>
    <t>Pharmacy</t>
  </si>
  <si>
    <t>Insurance</t>
  </si>
  <si>
    <t>Health Insurance</t>
  </si>
  <si>
    <t>Home Insurance</t>
  </si>
  <si>
    <t>Shopping</t>
  </si>
  <si>
    <t>Clothing</t>
  </si>
  <si>
    <t>Electronics</t>
  </si>
  <si>
    <t>Entertainment</t>
  </si>
  <si>
    <t>Streaming</t>
  </si>
  <si>
    <t>Events</t>
  </si>
  <si>
    <t>Travel</t>
  </si>
  <si>
    <t>Accommodation</t>
  </si>
  <si>
    <t>Transport</t>
  </si>
  <si>
    <t>Pets</t>
  </si>
  <si>
    <t>Food</t>
  </si>
  <si>
    <t>Vet</t>
  </si>
  <si>
    <t>Subscriptions</t>
  </si>
  <si>
    <t>Software</t>
  </si>
  <si>
    <t>Memberships</t>
  </si>
  <si>
    <t>Personal</t>
  </si>
  <si>
    <t>Self-care</t>
  </si>
  <si>
    <t>Home</t>
  </si>
  <si>
    <t>Furniture</t>
  </si>
  <si>
    <t>Decor</t>
  </si>
  <si>
    <t>Other</t>
  </si>
  <si>
    <t>Miscellaneous</t>
  </si>
  <si>
    <t>Salary</t>
  </si>
  <si>
    <t>Primary Salary</t>
  </si>
  <si>
    <t>Income</t>
  </si>
  <si>
    <t>Partner Salary</t>
  </si>
  <si>
    <t>Other Income</t>
  </si>
  <si>
    <t>Freelance</t>
  </si>
  <si>
    <t>Interest</t>
  </si>
  <si>
    <t>Transaction Types</t>
  </si>
  <si>
    <t>Payment Methods</t>
  </si>
  <si>
    <t>Accounts</t>
  </si>
  <si>
    <t>People</t>
  </si>
  <si>
    <t>Yes / No</t>
  </si>
  <si>
    <t>Card</t>
  </si>
  <si>
    <t>Joint Checking</t>
  </si>
  <si>
    <t>Alex</t>
  </si>
  <si>
    <t>Yes</t>
  </si>
  <si>
    <t>Cash</t>
  </si>
  <si>
    <t>Joint Savings</t>
  </si>
  <si>
    <t>Jordan</t>
  </si>
  <si>
    <t>No</t>
  </si>
  <si>
    <t>Bank Transfer</t>
  </si>
  <si>
    <t>Alex Checking</t>
  </si>
  <si>
    <t>Direct Debit</t>
  </si>
  <si>
    <t>Jordan Checking</t>
  </si>
  <si>
    <t>Digital Wallet</t>
  </si>
  <si>
    <t>Credit Card</t>
  </si>
  <si>
    <t>Frequency</t>
  </si>
  <si>
    <t>Monthly</t>
  </si>
  <si>
    <t>Quarterly</t>
  </si>
  <si>
    <t>Semiannual</t>
  </si>
  <si>
    <t>Annual</t>
  </si>
  <si>
    <t>Weekly</t>
  </si>
  <si>
    <t>Biweekly</t>
  </si>
  <si>
    <t>Status</t>
  </si>
  <si>
    <t>Active</t>
  </si>
  <si>
    <t>Inactive</t>
  </si>
  <si>
    <t>HOUSEHOLD TRANSACTIONS</t>
  </si>
  <si>
    <t>Starter data is included to demonstrate the dashboard — replace or delete it, then add your own rows.</t>
  </si>
  <si>
    <t>Date</t>
  </si>
  <si>
    <t>Description</t>
  </si>
  <si>
    <t>Amount</t>
  </si>
  <si>
    <t>Payment Method</t>
  </si>
  <si>
    <t>Account</t>
  </si>
  <si>
    <t>Person</t>
  </si>
  <si>
    <t>Recurring</t>
  </si>
  <si>
    <t>Notes</t>
  </si>
  <si>
    <t>Month</t>
  </si>
  <si>
    <t>January salary</t>
  </si>
  <si>
    <t>Starter sample</t>
  </si>
  <si>
    <t>Partner salary</t>
  </si>
  <si>
    <t>Rent</t>
  </si>
  <si>
    <t>February salary</t>
  </si>
  <si>
    <t>March salary</t>
  </si>
  <si>
    <t>Weekend trip</t>
  </si>
  <si>
    <t>April salary</t>
  </si>
  <si>
    <t>May salary</t>
  </si>
  <si>
    <t>Car service</t>
  </si>
  <si>
    <t>June salary</t>
  </si>
  <si>
    <t>Restaurants</t>
  </si>
  <si>
    <t>July salary</t>
  </si>
  <si>
    <t>Home furniture</t>
  </si>
  <si>
    <t>August salary</t>
  </si>
  <si>
    <t>September salary</t>
  </si>
  <si>
    <t>Dining out</t>
  </si>
  <si>
    <t>Streaming bundle</t>
  </si>
  <si>
    <t>MONTHLY HOUSEHOLD BUDGET</t>
  </si>
  <si>
    <t>Selected Month</t>
  </si>
  <si>
    <t>Monthly Budget</t>
  </si>
  <si>
    <t>Actual Spending</t>
  </si>
  <si>
    <t>Remaining Budget</t>
  </si>
  <si>
    <t>% of Budget Used</t>
  </si>
  <si>
    <t>HOUSEHOLD TOTAL</t>
  </si>
  <si>
    <t>RECURRING EXPENSES &amp; COMMITMENTS</t>
  </si>
  <si>
    <t>Monthly Commitments</t>
  </si>
  <si>
    <t>Annual Commitments</t>
  </si>
  <si>
    <t>Expense Name</t>
  </si>
  <si>
    <t>Due Day</t>
  </si>
  <si>
    <t>Monthly Equivalent</t>
  </si>
  <si>
    <t>Annual Cost</t>
  </si>
  <si>
    <t>Next Expected Payment</t>
  </si>
  <si>
    <t>Home insurance</t>
  </si>
  <si>
    <t>Renews in March</t>
  </si>
  <si>
    <t>Gym memberships</t>
  </si>
  <si>
    <t>SAVINGS &amp; GOALS</t>
  </si>
  <si>
    <t>Track progress toward the household goals that matter most.</t>
  </si>
  <si>
    <t>Goal Name</t>
  </si>
  <si>
    <t>Target Amount</t>
  </si>
  <si>
    <t>Current Amount</t>
  </si>
  <si>
    <t>Target Date</t>
  </si>
  <si>
    <t>Monthly Contribution</t>
  </si>
  <si>
    <t>Remaining Amount</t>
  </si>
  <si>
    <t>Progress %</t>
  </si>
  <si>
    <t>Emergency fund</t>
  </si>
  <si>
    <t>Vacation</t>
  </si>
  <si>
    <t>New car</t>
  </si>
  <si>
    <t>Home renovation</t>
  </si>
  <si>
    <t>General savings</t>
  </si>
  <si>
    <t>YEARLY FINANCIAL OVERVIEW</t>
  </si>
  <si>
    <t>Year</t>
  </si>
  <si>
    <t>Total Income</t>
  </si>
  <si>
    <t>Total Expenses</t>
  </si>
  <si>
    <t>Savings</t>
  </si>
  <si>
    <t>Savings Rate</t>
  </si>
  <si>
    <t>Budget</t>
  </si>
  <si>
    <t>Budget Variance</t>
  </si>
  <si>
    <t>YEAR TOTAL</t>
  </si>
  <si>
    <t>HOME FINANCE COMMAND CENTER</t>
  </si>
  <si>
    <t>A clear monthly view of income, spending, savings, budgets and household goals</t>
  </si>
  <si>
    <t>Dashboard Month</t>
  </si>
  <si>
    <t>INCOME THIS MONTH</t>
  </si>
  <si>
    <t>EXPENSES THIS MONTH</t>
  </si>
  <si>
    <t>MONEY REMAINING</t>
  </si>
  <si>
    <t>SAVINGS THIS MONTH</t>
  </si>
  <si>
    <t>SAVINGS RATE</t>
  </si>
  <si>
    <t>BIGGEST SPENDING CATEGORY</t>
  </si>
  <si>
    <t>VS PREVIOUS MONTH</t>
  </si>
  <si>
    <t>FINANCIAL PERFORMANCE</t>
  </si>
  <si>
    <t>Actual</t>
  </si>
  <si>
    <t>Expenses</t>
  </si>
  <si>
    <t>Cost Type</t>
  </si>
  <si>
    <t>FINANCIAL INSIGHTS</t>
  </si>
  <si>
    <t>Variance</t>
  </si>
  <si>
    <t>GETTING STARTED</t>
  </si>
  <si>
    <t>1  Customize categories</t>
  </si>
  <si>
    <t>2  Enter transactions</t>
  </si>
  <si>
    <t>3  Set monthly budgets</t>
  </si>
  <si>
    <t>4  Add recurring expenses</t>
  </si>
  <si>
    <t>5  Add savings goals</t>
  </si>
  <si>
    <t>6  Monitor the Dashboard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</si>
</sst>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dd\ mmm\ yyyy"/>
    <numFmt numFmtId="165" formatCode="&quot;€&quot;#,##0.00"/>
    <numFmt numFmtId="166" formatCode="mmm\ yyyy"/>
    <numFmt numFmtId="167" formatCode="mmmm\ yyyy"/>
    <numFmt numFmtId="168" formatCode="0.0%"/>
    <numFmt numFmtId="169" formatCode="mmm"/>
    <numFmt numFmtId="170" formatCode="&quot;€&quot;#,##0"/>
  </numFmts>
  <fonts count="14" x14ac:knownFonts="1">
    <font>
      <sz val="11"/>
      <color theme="1"/>
      <name val="Aptos Narrow"/>
      <family val="2"/>
      <scheme val="minor"/>
    </font>
    <font>
      <b/>
      <sz val="24"/>
      <color rgb="FFFFFFFF"/>
      <name val="Aptos"/>
    </font>
    <font>
      <sz val="11"/>
      <color theme="1"/>
      <name val="Aptos"/>
    </font>
    <font>
      <sz val="11"/>
      <color rgb="FFCFE7E7"/>
      <name val="Aptos"/>
    </font>
    <font>
      <b/>
      <sz val="11"/>
      <color theme="1"/>
      <name val="Aptos"/>
    </font>
    <font>
      <b/>
      <sz val="9"/>
      <color rgb="FFFFFFFF"/>
      <name val="Aptos"/>
    </font>
    <font>
      <b/>
      <sz val="18"/>
      <color rgb="FF16324F"/>
      <name val="Aptos"/>
    </font>
    <font>
      <b/>
      <sz val="13"/>
      <color rgb="FF16324F"/>
      <name val="Aptos"/>
    </font>
    <font>
      <b/>
      <sz val="11"/>
      <color rgb="FFFFFFFF"/>
      <name val="Aptos"/>
    </font>
    <font>
      <sz val="11"/>
      <color rgb="FF243447"/>
      <name val="Aptos"/>
    </font>
    <font>
      <b/>
      <sz val="11"/>
      <color rgb="FF16324F"/>
      <name val="Aptos"/>
    </font>
    <font>
      <b/>
      <sz val="20"/>
      <color rgb="FFFFFFFF"/>
      <name val="Aptos"/>
    </font>
    <font>
      <sz val="11"/>
      <color rgb="FF6B7C8F"/>
      <name val="Aptos"/>
    </font>
    <font>
      <b/>
      <sz val="16"/>
      <color theme="1"/>
      <name val="Aptos"/>
    </font>
  </fonts>
  <fills count="8">
    <fill>
      <patternFill patternType="none"/>
    </fill>
    <fill>
      <patternFill patternType="gray125"/>
    </fill>
    <fill>
      <patternFill patternType="solid">
        <fgColor rgb="FF16324F"/>
        <bgColor indexed="64"/>
      </patternFill>
    </fill>
    <fill>
      <patternFill patternType="solid">
        <fgColor rgb="FFEAF4F4"/>
        <bgColor indexed="64"/>
      </patternFill>
    </fill>
    <fill>
      <patternFill patternType="solid">
        <fgColor rgb="FF1F8A8A"/>
        <bgColor indexed="64"/>
      </patternFill>
    </fill>
    <fill>
      <patternFill patternType="solid">
        <fgColor rgb="FFE7B75B"/>
        <bgColor indexed="64"/>
      </patternFill>
    </fill>
    <fill>
      <patternFill patternType="solid">
        <fgColor rgb="FFF5F7FA"/>
        <bgColor indexed="64"/>
      </patternFill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170" fontId="6" fillId="6" borderId="0" xfId="0" applyNumberFormat="1" applyFont="1" applyFill="1" applyAlignment="1">
      <alignment horizontal="center" vertical="center"/>
    </xf>
    <xf numFmtId="168" fontId="6" fillId="6" borderId="0" xfId="0" applyNumberFormat="1" applyFont="1" applyFill="1" applyAlignment="1">
      <alignment horizontal="center" vertical="center"/>
    </xf>
    <xf numFmtId="0" fontId="7" fillId="6" borderId="0" xfId="0" applyNumberFormat="1" applyFont="1" applyFill="1" applyAlignment="1">
      <alignment horizontal="center" vertical="center"/>
    </xf>
    <xf numFmtId="0" fontId="10" fillId="3" borderId="0" xfId="0" applyFont="1" applyFill="1" applyAlignment="1">
      <alignment horizontal="center" vertical="center" wrapText="1"/>
    </xf>
    <xf numFmtId="0" fontId="10" fillId="6" borderId="0" xfId="0" applyFont="1" applyFill="1" applyAlignment="1">
      <alignment horizontal="center" vertical="center" wrapText="1"/>
    </xf>
    <xf numFmtId="0" fontId="10" fillId="6" borderId="0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3" fillId="2" borderId="0" xfId="0" applyFont="1" applyFill="1" applyAlignment="1">
      <alignment vertical="center"/>
    </xf>
    <xf numFmtId="0" fontId="4" fillId="5" borderId="0" xfId="0" applyFont="1" applyFill="1" applyAlignment="1">
      <alignment vertical="center"/>
    </xf>
    <xf numFmtId="167" fontId="4" fillId="5" borderId="0" xfId="0" applyNumberFormat="1" applyFont="1" applyFill="1" applyAlignment="1">
      <alignment vertical="center"/>
    </xf>
    <xf numFmtId="0" fontId="5" fillId="4" borderId="0" xfId="0" applyFont="1" applyFill="1" applyAlignment="1">
      <alignment horizontal="center" vertical="center"/>
    </xf>
    <xf numFmtId="0" fontId="5" fillId="4" borderId="0" xfId="0" applyFont="1" applyFill="1" applyBorder="1" applyAlignment="1">
      <alignment horizontal="center" vertical="center"/>
    </xf>
    <xf numFmtId="170" fontId="2" fillId="0" borderId="0" xfId="0" applyNumberFormat="1" applyFont="1" applyAlignment="1">
      <alignment vertical="center"/>
    </xf>
    <xf numFmtId="166" fontId="2" fillId="0" borderId="0" xfId="0" applyNumberFormat="1" applyFont="1" applyAlignment="1">
      <alignment vertical="center"/>
    </xf>
    <xf numFmtId="0" fontId="8" fillId="2" borderId="0" xfId="0" applyFont="1" applyFill="1" applyAlignment="1">
      <alignment vertical="center"/>
    </xf>
    <xf numFmtId="0" fontId="8" fillId="4" borderId="0" xfId="0" applyFont="1" applyFill="1" applyAlignment="1">
      <alignment vertical="center"/>
    </xf>
    <xf numFmtId="0" fontId="9" fillId="6" borderId="0" xfId="0" applyFont="1" applyFill="1" applyAlignment="1">
      <alignment vertical="center"/>
    </xf>
    <xf numFmtId="0" fontId="9" fillId="7" borderId="0" xfId="0" applyFont="1" applyFill="1" applyAlignment="1">
      <alignment vertical="center"/>
    </xf>
    <xf numFmtId="0" fontId="11" fillId="2" borderId="0" xfId="0" applyFont="1" applyFill="1" applyAlignment="1">
      <alignment vertical="center"/>
    </xf>
    <xf numFmtId="0" fontId="9" fillId="3" borderId="0" xfId="0" applyFont="1" applyFill="1" applyAlignment="1">
      <alignment vertical="center"/>
    </xf>
    <xf numFmtId="164" fontId="2" fillId="0" borderId="0" xfId="0" applyNumberFormat="1" applyFont="1" applyAlignment="1">
      <alignment vertical="center"/>
    </xf>
    <xf numFmtId="165" fontId="2" fillId="0" borderId="0" xfId="0" applyNumberFormat="1" applyFont="1" applyAlignment="1">
      <alignment vertical="center"/>
    </xf>
    <xf numFmtId="0" fontId="8" fillId="2" borderId="0" xfId="0" applyFont="1" applyFill="1" applyAlignment="1">
      <alignment horizontal="center" vertical="center"/>
    </xf>
    <xf numFmtId="165" fontId="8" fillId="2" borderId="0" xfId="0" applyNumberFormat="1" applyFont="1" applyFill="1" applyAlignment="1">
      <alignment horizontal="center" vertical="center"/>
    </xf>
    <xf numFmtId="168" fontId="8" fillId="2" borderId="0" xfId="0" applyNumberFormat="1" applyFont="1" applyFill="1" applyAlignment="1">
      <alignment horizontal="center" vertical="center"/>
    </xf>
    <xf numFmtId="0" fontId="2" fillId="3" borderId="0" xfId="0" applyFont="1" applyFill="1" applyAlignment="1">
      <alignment vertical="center"/>
    </xf>
    <xf numFmtId="167" fontId="2" fillId="3" borderId="0" xfId="0" applyNumberFormat="1" applyFont="1" applyFill="1" applyAlignment="1">
      <alignment vertical="center"/>
    </xf>
    <xf numFmtId="168" fontId="2" fillId="0" borderId="0" xfId="0" applyNumberFormat="1" applyFont="1" applyAlignment="1">
      <alignment vertical="center"/>
    </xf>
    <xf numFmtId="0" fontId="12" fillId="0" borderId="0" xfId="0" applyFont="1" applyAlignment="1">
      <alignment vertical="center"/>
    </xf>
    <xf numFmtId="0" fontId="4" fillId="3" borderId="0" xfId="0" applyFont="1" applyFill="1" applyAlignment="1">
      <alignment vertical="center"/>
    </xf>
    <xf numFmtId="165" fontId="13" fillId="0" borderId="0" xfId="0" applyNumberFormat="1" applyFont="1" applyAlignment="1">
      <alignment vertical="center"/>
    </xf>
    <xf numFmtId="0" fontId="2" fillId="3" borderId="0" xfId="0" applyFont="1" applyFill="1" applyAlignment="1">
      <alignment vertical="center"/>
    </xf>
    <xf numFmtId="169" fontId="2" fillId="0" borderId="0" xfId="0" applyNumberFormat="1" applyFont="1" applyAlignment="1">
      <alignment vertical="center"/>
    </xf>
    <xf numFmtId="0" fontId="8" fillId="2" borderId="0" xfId="0" applyFont="1" applyFill="1" applyAlignment="1">
      <alignment vertical="center"/>
    </xf>
    <xf numFmtId="165" fontId="8" fillId="2" borderId="0" xfId="0" applyNumberFormat="1" applyFont="1" applyFill="1" applyAlignment="1">
      <alignment vertical="center"/>
    </xf>
    <xf numFmtId="168" fontId="8" fillId="2" borderId="0" xfId="0" applyNumberFormat="1" applyFont="1" applyFill="1" applyAlignment="1">
      <alignment vertical="center"/>
    </xf>
  </cellXfs>
  <cellStyles count="1">
    <cellStyle name="Normale" xfId="0" builtinId="0"/>
  </cellStyles>
  <dxfs count="65">
    <dxf>
      <font>
        <name val="Aptos"/>
      </font>
      <alignment vertical="center"/>
    </dxf>
    <dxf>
      <font>
        <name val="Aptos"/>
      </font>
      <alignment vertical="center"/>
    </dxf>
    <dxf>
      <font>
        <name val="Aptos"/>
      </font>
      <numFmt numFmtId="165" formatCode="&quot;€&quot;#,##0.00"/>
      <alignment vertical="center"/>
    </dxf>
    <dxf>
      <font>
        <name val="Aptos"/>
      </font>
      <numFmt numFmtId="165" formatCode="&quot;€&quot;#,##0.00"/>
      <alignment vertical="center"/>
    </dxf>
    <dxf>
      <font>
        <name val="Aptos"/>
      </font>
      <alignment vertical="center"/>
    </dxf>
    <dxf>
      <font>
        <name val="Aptos"/>
      </font>
      <alignment vertical="center"/>
    </dxf>
    <dxf>
      <font>
        <name val="Aptos"/>
      </font>
      <alignment vertical="center"/>
    </dxf>
    <dxf>
      <font>
        <name val="Aptos"/>
      </font>
      <alignment vertical="center"/>
    </dxf>
    <dxf>
      <font>
        <name val="Aptos"/>
      </font>
      <alignment vertical="center"/>
    </dxf>
    <dxf>
      <font>
        <name val="Aptos"/>
      </font>
      <alignment vertical="center"/>
    </dxf>
    <dxf>
      <font>
        <name val="Aptos"/>
      </font>
      <alignment vertical="center"/>
    </dxf>
    <dxf>
      <font>
        <name val="Aptos"/>
      </font>
      <numFmt numFmtId="0" formatCode="General"/>
      <alignment vertical="center"/>
    </dxf>
    <dxf>
      <font>
        <name val="Aptos"/>
      </font>
      <alignment vertical="center"/>
    </dxf>
    <dxf>
      <font>
        <name val="Aptos"/>
      </font>
      <alignment vertical="center"/>
    </dxf>
    <dxf>
      <font>
        <name val="Aptos"/>
      </font>
      <alignment vertical="center"/>
    </dxf>
    <dxf>
      <font>
        <name val="Aptos"/>
      </font>
      <alignment vertical="center"/>
    </dxf>
    <dxf>
      <font>
        <name val="Aptos"/>
      </font>
      <alignment vertical="center"/>
    </dxf>
    <dxf>
      <font>
        <name val="Aptos"/>
      </font>
      <alignment vertical="center"/>
    </dxf>
    <dxf>
      <font>
        <name val="Aptos"/>
      </font>
      <alignment vertical="center"/>
    </dxf>
    <dxf>
      <font>
        <name val="Aptos"/>
      </font>
      <alignment vertical="center"/>
    </dxf>
    <dxf>
      <font>
        <name val="Aptos"/>
      </font>
      <alignment vertical="center"/>
    </dxf>
    <dxf>
      <font>
        <name val="Aptos"/>
      </font>
      <alignment vertical="center"/>
    </dxf>
    <dxf>
      <font>
        <name val="Aptos"/>
      </font>
      <alignment vertical="center"/>
    </dxf>
    <dxf>
      <font>
        <name val="Aptos"/>
      </font>
      <alignment vertical="center"/>
    </dxf>
    <dxf>
      <font>
        <name val="Aptos"/>
      </font>
      <alignment vertical="center"/>
    </dxf>
    <dxf>
      <font>
        <name val="Aptos"/>
      </font>
      <alignment vertical="center"/>
    </dxf>
    <dxf>
      <font>
        <name val="Aptos"/>
      </font>
      <alignment vertical="center"/>
    </dxf>
    <dxf>
      <font>
        <name val="Aptos"/>
      </font>
      <alignment vertical="center"/>
    </dxf>
    <dxf>
      <font>
        <name val="Aptos"/>
      </font>
      <alignment vertical="center"/>
    </dxf>
    <dxf>
      <font>
        <name val="Aptos"/>
      </font>
      <alignment vertical="center"/>
    </dxf>
    <dxf>
      <font>
        <name val="Aptos"/>
      </font>
      <alignment vertical="center"/>
    </dxf>
    <dxf>
      <font>
        <name val="Aptos"/>
      </font>
      <alignment vertical="center"/>
    </dxf>
    <dxf>
      <font>
        <name val="Aptos"/>
      </font>
      <alignment vertical="center"/>
    </dxf>
    <dxf>
      <font>
        <name val="Aptos"/>
      </font>
      <alignment vertical="center"/>
    </dxf>
    <dxf>
      <font>
        <name val="Aptos"/>
      </font>
      <alignment vertical="center"/>
    </dxf>
    <dxf>
      <font>
        <name val="Aptos"/>
      </font>
      <alignment vertical="center"/>
    </dxf>
    <dxf>
      <font>
        <name val="Aptos"/>
      </font>
      <alignment vertical="center"/>
    </dxf>
    <dxf>
      <font>
        <name val="Aptos"/>
      </font>
      <alignment vertical="center"/>
    </dxf>
    <dxf>
      <font>
        <name val="Aptos"/>
      </font>
      <alignment vertical="center"/>
    </dxf>
    <dxf>
      <font>
        <name val="Aptos"/>
      </font>
      <alignment vertical="center"/>
    </dxf>
    <dxf>
      <font>
        <name val="Aptos"/>
      </font>
      <numFmt numFmtId="0" formatCode="General"/>
      <alignment vertical="center"/>
    </dxf>
    <dxf>
      <font>
        <name val="Aptos"/>
      </font>
      <numFmt numFmtId="168" formatCode="0.0%"/>
      <alignment vertical="center"/>
    </dxf>
    <dxf>
      <font>
        <name val="Aptos"/>
      </font>
      <numFmt numFmtId="165" formatCode="&quot;€&quot;#,##0.00"/>
      <alignment vertical="center"/>
    </dxf>
    <dxf>
      <font>
        <name val="Aptos"/>
      </font>
      <numFmt numFmtId="165" formatCode="&quot;€&quot;#,##0.00"/>
      <alignment vertical="center"/>
    </dxf>
    <dxf>
      <font>
        <name val="Aptos"/>
      </font>
      <numFmt numFmtId="165" formatCode="&quot;€&quot;#,##0.00"/>
      <alignment vertical="center"/>
    </dxf>
    <dxf>
      <font>
        <name val="Aptos"/>
      </font>
      <alignment vertical="center"/>
    </dxf>
    <dxf>
      <font>
        <name val="Aptos"/>
      </font>
      <alignment vertical="center"/>
    </dxf>
    <dxf>
      <font>
        <name val="Aptos"/>
      </font>
      <alignment vertical="center"/>
    </dxf>
    <dxf>
      <font>
        <name val="Aptos"/>
      </font>
      <numFmt numFmtId="166" formatCode="mmm\ yyyy"/>
      <alignment vertical="center"/>
    </dxf>
    <dxf>
      <font>
        <name val="Aptos"/>
      </font>
      <alignment vertical="center"/>
    </dxf>
    <dxf>
      <font>
        <name val="Aptos"/>
      </font>
      <alignment vertical="center"/>
    </dxf>
    <dxf>
      <font>
        <name val="Aptos"/>
      </font>
      <alignment vertical="center"/>
    </dxf>
    <dxf>
      <font>
        <name val="Aptos"/>
      </font>
      <alignment vertical="center"/>
    </dxf>
    <dxf>
      <font>
        <name val="Aptos"/>
      </font>
      <alignment vertical="center"/>
    </dxf>
    <dxf>
      <font>
        <name val="Aptos"/>
      </font>
      <numFmt numFmtId="165" formatCode="&quot;€&quot;#,##0.00"/>
      <alignment vertical="center"/>
    </dxf>
    <dxf>
      <font>
        <name val="Aptos"/>
      </font>
      <alignment vertical="center"/>
    </dxf>
    <dxf>
      <font>
        <name val="Aptos"/>
      </font>
      <alignment vertical="center"/>
    </dxf>
    <dxf>
      <font>
        <name val="Aptos"/>
      </font>
      <alignment vertical="center"/>
    </dxf>
    <dxf>
      <font>
        <name val="Aptos"/>
      </font>
      <alignment vertical="center"/>
    </dxf>
    <dxf>
      <font>
        <name val="Aptos"/>
      </font>
      <numFmt numFmtId="164" formatCode="dd\ mmm\ yyyy"/>
      <alignment vertical="center"/>
    </dxf>
    <dxf>
      <font>
        <color rgb="FFA33A3A"/>
      </font>
      <fill>
        <patternFill patternType="solid">
          <fgColor indexed="64"/>
          <bgColor rgb="FFFBE4E4"/>
        </patternFill>
      </fill>
    </dxf>
    <dxf>
      <fill>
        <patternFill patternType="solid">
          <fgColor indexed="64"/>
          <bgColor rgb="FFFFF3D6"/>
        </patternFill>
      </fill>
    </dxf>
    <dxf>
      <font>
        <color rgb="FFA33A3A"/>
      </font>
      <fill>
        <patternFill patternType="solid">
          <fgColor indexed="64"/>
          <bgColor rgb="FFFBE4E4"/>
        </patternFill>
      </fill>
    </dxf>
    <dxf>
      <font>
        <color rgb="FF1F6B45"/>
      </font>
    </dxf>
    <dxf>
      <font>
        <color rgb="FF8A3B3B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eetMetadata" Target="metadata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rgbClr val="16324F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Monthly Income vs Expenses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rgbClr val="16324F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Dashboard!$AB$4</c:f>
              <c:strCache>
                <c:ptCount val="1"/>
                <c:pt idx="0">
                  <c:v>Income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Dashboard!$AB$5:$AB$16</c:f>
            </c:numRef>
          </c:val>
          <c:extLst>
            <c:ext xmlns:c16="http://schemas.microsoft.com/office/drawing/2014/chart" uri="{C3380CC4-5D6E-409C-BE32-E72D297353CC}">
              <c16:uniqueId val="{00000000-3E1E-454E-BB41-30C6439D4EE7}"/>
            </c:ext>
          </c:extLst>
        </c:ser>
        <c:ser>
          <c:idx val="1"/>
          <c:order val="1"/>
          <c:tx>
            <c:strRef>
              <c:f>Dashboard!$AC$4</c:f>
              <c:strCache>
                <c:ptCount val="1"/>
                <c:pt idx="0">
                  <c:v>Expenses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Dashboard!$AC$5:$AC$16</c:f>
            </c:numRef>
          </c:val>
          <c:extLst>
            <c:ext xmlns:c16="http://schemas.microsoft.com/office/drawing/2014/chart" uri="{C3380CC4-5D6E-409C-BE32-E72D297353CC}">
              <c16:uniqueId val="{00000001-3E1E-454E-BB41-30C6439D4E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17105791"/>
        <c:axId val="1566881391"/>
      </c:barChart>
      <c:catAx>
        <c:axId val="1517105791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1566881391"/>
        <c:crosses val="autoZero"/>
        <c:auto val="1"/>
        <c:lblAlgn val="ctr"/>
        <c:lblOffset val="100"/>
        <c:noMultiLvlLbl val="0"/>
      </c:catAx>
      <c:valAx>
        <c:axId val="156688139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151710579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rgbClr val="FFFFFF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Expenses by Category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Dashboard!$Y$4</c:f>
              <c:strCache>
                <c:ptCount val="1"/>
                <c:pt idx="0">
                  <c:v>Actual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Dashboard!$Y$5:$Y$20</c:f>
              <c:numCache>
                <c:formatCode>"€"#,##0</c:formatCode>
                <c:ptCount val="16"/>
                <c:pt idx="0">
                  <c:v>1850</c:v>
                </c:pt>
                <c:pt idx="1">
                  <c:v>245</c:v>
                </c:pt>
                <c:pt idx="2">
                  <c:v>735</c:v>
                </c:pt>
                <c:pt idx="3">
                  <c:v>310</c:v>
                </c:pt>
                <c:pt idx="4">
                  <c:v>180</c:v>
                </c:pt>
                <c:pt idx="5">
                  <c:v>0</c:v>
                </c:pt>
                <c:pt idx="6">
                  <c:v>90</c:v>
                </c:pt>
                <c:pt idx="7">
                  <c:v>0</c:v>
                </c:pt>
                <c:pt idx="8">
                  <c:v>0</c:v>
                </c:pt>
                <c:pt idx="9">
                  <c:v>55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B1-449D-B1E6-1C307FE634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1517120639"/>
        <c:axId val="1566946191"/>
      </c:barChart>
      <c:catAx>
        <c:axId val="1517120639"/>
        <c:scaling>
          <c:orientation val="minMax"/>
        </c:scaling>
        <c:delete val="0"/>
        <c:axPos val="l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1566946191"/>
        <c:crosses val="autoZero"/>
        <c:auto val="1"/>
        <c:lblAlgn val="ctr"/>
        <c:lblOffset val="100"/>
        <c:noMultiLvlLbl val="0"/>
      </c:catAx>
      <c:valAx>
        <c:axId val="156694619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€&quot;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1517120639"/>
        <c:crosses val="autoZero"/>
        <c:crossBetween val="between"/>
      </c:valAx>
      <c:spPr>
        <a:noFill/>
        <a:ln>
          <a:noFill/>
        </a:ln>
        <a:effectLst/>
      </c:spPr>
    </c:plotArea>
    <c:plotVisOnly val="0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Budget vs Actual Spending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Dashboard!$Y$4</c:f>
              <c:strCache>
                <c:ptCount val="1"/>
                <c:pt idx="0">
                  <c:v>Actual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Dashboard!$Y$5:$Y$20</c:f>
              <c:numCache>
                <c:formatCode>"€"#,##0</c:formatCode>
                <c:ptCount val="16"/>
                <c:pt idx="0">
                  <c:v>1850</c:v>
                </c:pt>
                <c:pt idx="1">
                  <c:v>245</c:v>
                </c:pt>
                <c:pt idx="2">
                  <c:v>735</c:v>
                </c:pt>
                <c:pt idx="3">
                  <c:v>310</c:v>
                </c:pt>
                <c:pt idx="4">
                  <c:v>180</c:v>
                </c:pt>
                <c:pt idx="5">
                  <c:v>0</c:v>
                </c:pt>
                <c:pt idx="6">
                  <c:v>90</c:v>
                </c:pt>
                <c:pt idx="7">
                  <c:v>0</c:v>
                </c:pt>
                <c:pt idx="8">
                  <c:v>0</c:v>
                </c:pt>
                <c:pt idx="9">
                  <c:v>55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8CE-4493-A1A6-AC36CC642186}"/>
            </c:ext>
          </c:extLst>
        </c:ser>
        <c:ser>
          <c:idx val="1"/>
          <c:order val="1"/>
          <c:tx>
            <c:strRef>
              <c:f>Dashboard!$Z$4</c:f>
              <c:strCache>
                <c:ptCount val="1"/>
                <c:pt idx="0">
                  <c:v>Budget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Dashboard!$Z$5:$Z$20</c:f>
              <c:numCache>
                <c:formatCode>"€"#,##0</c:formatCode>
                <c:ptCount val="16"/>
                <c:pt idx="0">
                  <c:v>1900</c:v>
                </c:pt>
                <c:pt idx="1">
                  <c:v>350</c:v>
                </c:pt>
                <c:pt idx="2">
                  <c:v>700</c:v>
                </c:pt>
                <c:pt idx="3">
                  <c:v>350</c:v>
                </c:pt>
                <c:pt idx="4">
                  <c:v>250</c:v>
                </c:pt>
                <c:pt idx="5">
                  <c:v>200</c:v>
                </c:pt>
                <c:pt idx="6">
                  <c:v>250</c:v>
                </c:pt>
                <c:pt idx="7">
                  <c:v>300</c:v>
                </c:pt>
                <c:pt idx="8">
                  <c:v>300</c:v>
                </c:pt>
                <c:pt idx="9">
                  <c:v>200</c:v>
                </c:pt>
                <c:pt idx="10">
                  <c:v>400</c:v>
                </c:pt>
                <c:pt idx="11">
                  <c:v>120</c:v>
                </c:pt>
                <c:pt idx="12">
                  <c:v>100</c:v>
                </c:pt>
                <c:pt idx="13">
                  <c:v>180</c:v>
                </c:pt>
                <c:pt idx="14">
                  <c:v>250</c:v>
                </c:pt>
                <c:pt idx="15">
                  <c:v>150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8CE-4493-A1A6-AC36CC6421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774706576"/>
        <c:axId val="1566955791"/>
      </c:barChart>
      <c:catAx>
        <c:axId val="1774706576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27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1566955791"/>
        <c:crosses val="autoZero"/>
        <c:auto val="1"/>
        <c:lblAlgn val="ctr"/>
        <c:lblOffset val="100"/>
        <c:noMultiLvlLbl val="0"/>
      </c:catAx>
      <c:valAx>
        <c:axId val="156695579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€&quot;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17747065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legend>
    <c:plotVisOnly val="0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12-Month Spending Trend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Dashboard!$AC$4</c:f>
              <c:strCache>
                <c:ptCount val="1"/>
                <c:pt idx="0">
                  <c:v>Expenses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val>
            <c:numRef>
              <c:f>Dashboard!$AC$5:$AC$16</c:f>
              <c:numCache>
                <c:formatCode>"€"#,##0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2390</c:v>
                </c:pt>
                <c:pt idx="4">
                  <c:v>2070</c:v>
                </c:pt>
                <c:pt idx="5">
                  <c:v>2800</c:v>
                </c:pt>
                <c:pt idx="6">
                  <c:v>2460</c:v>
                </c:pt>
                <c:pt idx="7">
                  <c:v>2630</c:v>
                </c:pt>
                <c:pt idx="8">
                  <c:v>2280</c:v>
                </c:pt>
                <c:pt idx="9">
                  <c:v>3100</c:v>
                </c:pt>
                <c:pt idx="10">
                  <c:v>2540</c:v>
                </c:pt>
                <c:pt idx="11">
                  <c:v>3465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9DF-4B12-B562-C3196F723B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17059855"/>
        <c:axId val="1566977871"/>
      </c:lineChart>
      <c:dateAx>
        <c:axId val="1517059855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1566977871"/>
        <c:crosses val="autoZero"/>
        <c:auto val="0"/>
        <c:lblOffset val="100"/>
        <c:baseTimeUnit val="days"/>
      </c:dateAx>
      <c:valAx>
        <c:axId val="156697787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€&quot;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1517059855"/>
        <c:crosses val="autoZero"/>
        <c:crossBetween val="between"/>
      </c:valAx>
      <c:spPr>
        <a:noFill/>
        <a:ln>
          <a:noFill/>
        </a:ln>
        <a:effectLst/>
      </c:spPr>
    </c:plotArea>
    <c:plotVisOnly val="0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Savings Trend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Dashboard!$AD$4</c:f>
              <c:strCache>
                <c:ptCount val="1"/>
                <c:pt idx="0">
                  <c:v>Savings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val>
            <c:numRef>
              <c:f>Dashboard!$AD$5:$AD$16</c:f>
              <c:numCache>
                <c:formatCode>"€"#,##0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5410</c:v>
                </c:pt>
                <c:pt idx="4">
                  <c:v>5730</c:v>
                </c:pt>
                <c:pt idx="5">
                  <c:v>5000</c:v>
                </c:pt>
                <c:pt idx="6">
                  <c:v>5340</c:v>
                </c:pt>
                <c:pt idx="7">
                  <c:v>5170</c:v>
                </c:pt>
                <c:pt idx="8">
                  <c:v>5520</c:v>
                </c:pt>
                <c:pt idx="9">
                  <c:v>4700</c:v>
                </c:pt>
                <c:pt idx="10">
                  <c:v>5260</c:v>
                </c:pt>
                <c:pt idx="11">
                  <c:v>4335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565-8EED-737D6D1674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31845472"/>
        <c:axId val="1566991311"/>
      </c:lineChart>
      <c:dateAx>
        <c:axId val="1831845472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1566991311"/>
        <c:crosses val="autoZero"/>
        <c:auto val="0"/>
        <c:lblOffset val="100"/>
        <c:baseTimeUnit val="days"/>
      </c:dateAx>
      <c:valAx>
        <c:axId val="156699131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€&quot;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1831845472"/>
        <c:crosses val="autoZero"/>
        <c:crossBetween val="between"/>
      </c:valAx>
      <c:spPr>
        <a:noFill/>
        <a:ln>
          <a:noFill/>
        </a:ln>
        <a:effectLst/>
      </c:spPr>
    </c:plotArea>
    <c:plotVisOnly val="0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Fixed vs Variable Expenses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/>
      <c:doughnutChart>
        <c:varyColors val="1"/>
        <c:ser>
          <c:idx val="0"/>
          <c:order val="0"/>
          <c:tx>
            <c:strRef>
              <c:f>Dashboard!$AG$4</c:f>
              <c:strCache>
                <c:ptCount val="1"/>
                <c:pt idx="0">
                  <c:v>Amount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</c:dPt>
          <c:cat>
            <c:strRef>
              <c:f>Dashboard!$AF$5:$AF$6</c:f>
              <c:strCache>
                <c:ptCount val="2"/>
                <c:pt idx="0">
                  <c:v>Fixed</c:v>
                </c:pt>
                <c:pt idx="1">
                  <c:v>Variable</c:v>
                </c:pt>
              </c:strCache>
            </c:strRef>
          </c:cat>
          <c:val>
            <c:numRef>
              <c:f>Dashboard!$AG$5:$AG$6</c:f>
              <c:numCache>
                <c:formatCode>"€"#,##0</c:formatCode>
                <c:ptCount val="2"/>
                <c:pt idx="0">
                  <c:v>2150</c:v>
                </c:pt>
                <c:pt idx="1">
                  <c:v>1315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AF3-4D31-AE0E-B463D57A72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75"/>
      </c:doughnut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legend>
    <c:plotVisOnly val="0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Income vs Expenses by Month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'Yearly Overview'!$B$4</c:f>
              <c:strCache>
                <c:ptCount val="1"/>
                <c:pt idx="0">
                  <c:v>Total Income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'Yearly Overview'!$A$5:$A$16</c:f>
              <c:numCache>
                <c:formatCode>mmm</c:formatCode>
                <c:ptCount val="12"/>
                <c:pt idx="0">
                  <c:v>46023</c:v>
                </c:pt>
                <c:pt idx="1">
                  <c:v>46054</c:v>
                </c:pt>
                <c:pt idx="2">
                  <c:v>46082</c:v>
                </c:pt>
                <c:pt idx="3">
                  <c:v>46113</c:v>
                </c:pt>
                <c:pt idx="4">
                  <c:v>46143</c:v>
                </c:pt>
                <c:pt idx="5">
                  <c:v>46174</c:v>
                </c:pt>
                <c:pt idx="6">
                  <c:v>46204</c:v>
                </c:pt>
                <c:pt idx="7">
                  <c:v>46235</c:v>
                </c:pt>
                <c:pt idx="8">
                  <c:v>46266</c:v>
                </c:pt>
                <c:pt idx="9">
                  <c:v>46296</c:v>
                </c:pt>
                <c:pt idx="10">
                  <c:v>46327</c:v>
                </c:pt>
                <c:pt idx="11">
                  <c:v>46357</c:v>
                </c:pt>
              </c:numCache>
            </c:numRef>
          </c:cat>
          <c:val>
            <c:numRef>
              <c:f>'Yearly Overview'!$B$5:$B$16</c:f>
              <c:numCache>
                <c:formatCode>"€"#,##0.00</c:formatCode>
                <c:ptCount val="12"/>
                <c:pt idx="0">
                  <c:v>7800</c:v>
                </c:pt>
                <c:pt idx="1">
                  <c:v>7800</c:v>
                </c:pt>
                <c:pt idx="2">
                  <c:v>7800</c:v>
                </c:pt>
                <c:pt idx="3">
                  <c:v>7800</c:v>
                </c:pt>
                <c:pt idx="4">
                  <c:v>7800</c:v>
                </c:pt>
                <c:pt idx="5">
                  <c:v>7800</c:v>
                </c:pt>
                <c:pt idx="6">
                  <c:v>7800</c:v>
                </c:pt>
                <c:pt idx="7">
                  <c:v>7800</c:v>
                </c:pt>
                <c:pt idx="8">
                  <c:v>7800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49E-46C9-AE6D-7F25EC3572C5}"/>
            </c:ext>
          </c:extLst>
        </c:ser>
        <c:ser>
          <c:idx val="1"/>
          <c:order val="1"/>
          <c:tx>
            <c:strRef>
              <c:f>'Yearly Overview'!$C$4</c:f>
              <c:strCache>
                <c:ptCount val="1"/>
                <c:pt idx="0">
                  <c:v>Total Expenses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'Yearly Overview'!$A$5:$A$16</c:f>
              <c:numCache>
                <c:formatCode>mmm</c:formatCode>
                <c:ptCount val="12"/>
                <c:pt idx="0">
                  <c:v>46023</c:v>
                </c:pt>
                <c:pt idx="1">
                  <c:v>46054</c:v>
                </c:pt>
                <c:pt idx="2">
                  <c:v>46082</c:v>
                </c:pt>
                <c:pt idx="3">
                  <c:v>46113</c:v>
                </c:pt>
                <c:pt idx="4">
                  <c:v>46143</c:v>
                </c:pt>
                <c:pt idx="5">
                  <c:v>46174</c:v>
                </c:pt>
                <c:pt idx="6">
                  <c:v>46204</c:v>
                </c:pt>
                <c:pt idx="7">
                  <c:v>46235</c:v>
                </c:pt>
                <c:pt idx="8">
                  <c:v>46266</c:v>
                </c:pt>
                <c:pt idx="9">
                  <c:v>46296</c:v>
                </c:pt>
                <c:pt idx="10">
                  <c:v>46327</c:v>
                </c:pt>
                <c:pt idx="11">
                  <c:v>46357</c:v>
                </c:pt>
              </c:numCache>
            </c:numRef>
          </c:cat>
          <c:val>
            <c:numRef>
              <c:f>'Yearly Overview'!$C$5:$C$16</c:f>
              <c:numCache>
                <c:formatCode>"€"#,##0.00</c:formatCode>
                <c:ptCount val="12"/>
                <c:pt idx="0">
                  <c:v>2390</c:v>
                </c:pt>
                <c:pt idx="1">
                  <c:v>2070</c:v>
                </c:pt>
                <c:pt idx="2">
                  <c:v>2800</c:v>
                </c:pt>
                <c:pt idx="3">
                  <c:v>2460</c:v>
                </c:pt>
                <c:pt idx="4">
                  <c:v>2630</c:v>
                </c:pt>
                <c:pt idx="5">
                  <c:v>2280</c:v>
                </c:pt>
                <c:pt idx="6">
                  <c:v>3100</c:v>
                </c:pt>
                <c:pt idx="7">
                  <c:v>2540</c:v>
                </c:pt>
                <c:pt idx="8">
                  <c:v>3465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49E-46C9-AE6D-7F25EC3572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778214592"/>
        <c:axId val="1567105071"/>
      </c:barChart>
      <c:dateAx>
        <c:axId val="1778214592"/>
        <c:scaling>
          <c:orientation val="minMax"/>
        </c:scaling>
        <c:delete val="0"/>
        <c:axPos val="b"/>
        <c:numFmt formatCode="mmm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1567105071"/>
        <c:crosses val="autoZero"/>
        <c:auto val="0"/>
        <c:lblOffset val="100"/>
        <c:baseTimeUnit val="months"/>
      </c:dateAx>
      <c:valAx>
        <c:axId val="156710507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€&quot;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17782145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Monthly Savings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'Yearly Overview'!$D$4</c:f>
              <c:strCache>
                <c:ptCount val="1"/>
                <c:pt idx="0">
                  <c:v>Savings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'Yearly Overview'!$A$5:$A$16</c:f>
              <c:numCache>
                <c:formatCode>mmm</c:formatCode>
                <c:ptCount val="12"/>
                <c:pt idx="0">
                  <c:v>46023</c:v>
                </c:pt>
                <c:pt idx="1">
                  <c:v>46054</c:v>
                </c:pt>
                <c:pt idx="2">
                  <c:v>46082</c:v>
                </c:pt>
                <c:pt idx="3">
                  <c:v>46113</c:v>
                </c:pt>
                <c:pt idx="4">
                  <c:v>46143</c:v>
                </c:pt>
                <c:pt idx="5">
                  <c:v>46174</c:v>
                </c:pt>
                <c:pt idx="6">
                  <c:v>46204</c:v>
                </c:pt>
                <c:pt idx="7">
                  <c:v>46235</c:v>
                </c:pt>
                <c:pt idx="8">
                  <c:v>46266</c:v>
                </c:pt>
                <c:pt idx="9">
                  <c:v>46296</c:v>
                </c:pt>
                <c:pt idx="10">
                  <c:v>46327</c:v>
                </c:pt>
                <c:pt idx="11">
                  <c:v>46357</c:v>
                </c:pt>
              </c:numCache>
            </c:numRef>
          </c:cat>
          <c:val>
            <c:numRef>
              <c:f>'Yearly Overview'!$D$5:$D$16</c:f>
              <c:numCache>
                <c:formatCode>"€"#,##0.00</c:formatCode>
                <c:ptCount val="12"/>
                <c:pt idx="0">
                  <c:v>5410</c:v>
                </c:pt>
                <c:pt idx="1">
                  <c:v>5730</c:v>
                </c:pt>
                <c:pt idx="2">
                  <c:v>5000</c:v>
                </c:pt>
                <c:pt idx="3">
                  <c:v>5340</c:v>
                </c:pt>
                <c:pt idx="4">
                  <c:v>5170</c:v>
                </c:pt>
                <c:pt idx="5">
                  <c:v>5520</c:v>
                </c:pt>
                <c:pt idx="6">
                  <c:v>4700</c:v>
                </c:pt>
                <c:pt idx="7">
                  <c:v>5260</c:v>
                </c:pt>
                <c:pt idx="8">
                  <c:v>4335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77B-4579-BCE6-20DB98D6C6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78167728"/>
        <c:axId val="1566853551"/>
      </c:lineChart>
      <c:dateAx>
        <c:axId val="1778167728"/>
        <c:scaling>
          <c:orientation val="minMax"/>
        </c:scaling>
        <c:delete val="0"/>
        <c:axPos val="b"/>
        <c:numFmt formatCode="mmm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1566853551"/>
        <c:crosses val="autoZero"/>
        <c:auto val="0"/>
        <c:lblOffset val="100"/>
        <c:baseTimeUnit val="months"/>
      </c:dateAx>
      <c:valAx>
        <c:axId val="156685355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€&quot;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177816772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chart" Target="../charts/chart7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24</xdr:row>
      <xdr:rowOff>0</xdr:rowOff>
    </xdr:to>
    <xdr:graphicFrame macro="">
      <xdr:nvGraphicFramePr>
        <xdr:cNvPr id="2" name="Monthly Income vs Expenses">
          <a:extLst>
            <a:ext uri="{FF2B5EF4-FFF2-40B4-BE49-F238E27FC236}">
              <a16:creationId xmlns:a16="http://schemas.microsoft.com/office/drawing/2014/main" id="{FD1032FC-2437-9852-64FE-B34FE27DCCD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0</xdr:colOff>
      <xdr:row>10</xdr:row>
      <xdr:rowOff>0</xdr:rowOff>
    </xdr:from>
    <xdr:to>
      <xdr:col>14</xdr:col>
      <xdr:colOff>0</xdr:colOff>
      <xdr:row>24</xdr:row>
      <xdr:rowOff>0</xdr:rowOff>
    </xdr:to>
    <xdr:graphicFrame macro="">
      <xdr:nvGraphicFramePr>
        <xdr:cNvPr id="3" name="Expenses by Category">
          <a:extLst>
            <a:ext uri="{FF2B5EF4-FFF2-40B4-BE49-F238E27FC236}">
              <a16:creationId xmlns:a16="http://schemas.microsoft.com/office/drawing/2014/main" id="{713EF830-3F5A-E0ED-EAB8-2CDCA9C5FDC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14</xdr:col>
      <xdr:colOff>0</xdr:colOff>
      <xdr:row>10</xdr:row>
      <xdr:rowOff>0</xdr:rowOff>
    </xdr:from>
    <xdr:to>
      <xdr:col>21</xdr:col>
      <xdr:colOff>0</xdr:colOff>
      <xdr:row>24</xdr:row>
      <xdr:rowOff>0</xdr:rowOff>
    </xdr:to>
    <xdr:graphicFrame macro="">
      <xdr:nvGraphicFramePr>
        <xdr:cNvPr id="4" name="Budget vs Actual">
          <a:extLst>
            <a:ext uri="{FF2B5EF4-FFF2-40B4-BE49-F238E27FC236}">
              <a16:creationId xmlns:a16="http://schemas.microsoft.com/office/drawing/2014/main" id="{861BDB6E-9D90-ACFB-A8EF-4CAA74E3A42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25</xdr:row>
      <xdr:rowOff>0</xdr:rowOff>
    </xdr:from>
    <xdr:to>
      <xdr:col>7</xdr:col>
      <xdr:colOff>0</xdr:colOff>
      <xdr:row>39</xdr:row>
      <xdr:rowOff>0</xdr:rowOff>
    </xdr:to>
    <xdr:graphicFrame macro="">
      <xdr:nvGraphicFramePr>
        <xdr:cNvPr id="5" name="Spending Trend">
          <a:extLst>
            <a:ext uri="{FF2B5EF4-FFF2-40B4-BE49-F238E27FC236}">
              <a16:creationId xmlns:a16="http://schemas.microsoft.com/office/drawing/2014/main" id="{7D973B00-FE51-DAB7-204F-B8AB69C29F0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7</xdr:col>
      <xdr:colOff>0</xdr:colOff>
      <xdr:row>25</xdr:row>
      <xdr:rowOff>0</xdr:rowOff>
    </xdr:from>
    <xdr:to>
      <xdr:col>14</xdr:col>
      <xdr:colOff>0</xdr:colOff>
      <xdr:row>39</xdr:row>
      <xdr:rowOff>0</xdr:rowOff>
    </xdr:to>
    <xdr:graphicFrame macro="">
      <xdr:nvGraphicFramePr>
        <xdr:cNvPr id="6" name="Savings Trend">
          <a:extLst>
            <a:ext uri="{FF2B5EF4-FFF2-40B4-BE49-F238E27FC236}">
              <a16:creationId xmlns:a16="http://schemas.microsoft.com/office/drawing/2014/main" id="{0DD9E647-A57F-0C8B-4BA3-F3BDB12BD35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14</xdr:col>
      <xdr:colOff>0</xdr:colOff>
      <xdr:row>25</xdr:row>
      <xdr:rowOff>0</xdr:rowOff>
    </xdr:from>
    <xdr:to>
      <xdr:col>21</xdr:col>
      <xdr:colOff>0</xdr:colOff>
      <xdr:row>39</xdr:row>
      <xdr:rowOff>0</xdr:rowOff>
    </xdr:to>
    <xdr:graphicFrame macro="">
      <xdr:nvGraphicFramePr>
        <xdr:cNvPr id="9" name="Fixed vs Variable">
          <a:extLst>
            <a:ext uri="{FF2B5EF4-FFF2-40B4-BE49-F238E27FC236}">
              <a16:creationId xmlns:a16="http://schemas.microsoft.com/office/drawing/2014/main" id="{E7AC512B-2419-B4EE-3426-9E426ED6307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3</xdr:row>
      <xdr:rowOff>0</xdr:rowOff>
    </xdr:from>
    <xdr:to>
      <xdr:col>16</xdr:col>
      <xdr:colOff>0</xdr:colOff>
      <xdr:row>15</xdr:row>
      <xdr:rowOff>0</xdr:rowOff>
    </xdr:to>
    <xdr:graphicFrame macro="">
      <xdr:nvGraphicFramePr>
        <xdr:cNvPr id="2" name="Yearly Income and Expenses">
          <a:extLst>
            <a:ext uri="{FF2B5EF4-FFF2-40B4-BE49-F238E27FC236}">
              <a16:creationId xmlns:a16="http://schemas.microsoft.com/office/drawing/2014/main" id="{AEAEE835-9ACE-E257-4EF5-AE5DCDBB426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16</xdr:row>
      <xdr:rowOff>0</xdr:rowOff>
    </xdr:from>
    <xdr:to>
      <xdr:col>16</xdr:col>
      <xdr:colOff>0</xdr:colOff>
      <xdr:row>28</xdr:row>
      <xdr:rowOff>0</xdr:rowOff>
    </xdr:to>
    <xdr:graphicFrame macro="">
      <xdr:nvGraphicFramePr>
        <xdr:cNvPr id="3" name="Yearly Savings">
          <a:extLst>
            <a:ext uri="{FF2B5EF4-FFF2-40B4-BE49-F238E27FC236}">
              <a16:creationId xmlns:a16="http://schemas.microsoft.com/office/drawing/2014/main" id="{46B30F6C-6BDA-EA4C-CA2E-15DE33BCA0E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D6FB6B3-6F1C-4A85-9DF1-E32595FE33F7}" name="tblTransactions" displayName="tblTransactions" ref="A4:L45" totalsRowShown="0" headerRowDxfId="47" dataDxfId="46">
  <autoFilter ref="A4:L45" xr:uid="{CD6FB6B3-6F1C-4A85-9DF1-E32595FE33F7}"/>
  <tableColumns count="12">
    <tableColumn id="1" xr3:uid="{82A82852-DE89-4796-82A4-521DA3503AA6}" name="Date" dataDxfId="59"/>
    <tableColumn id="2" xr3:uid="{B49A8B1D-3520-452D-9DB2-471BA806E4A5}" name="Description" dataDxfId="58"/>
    <tableColumn id="3" xr3:uid="{B74C1AB2-C02E-4720-BAA5-868C8A0DEB57}" name="Type" dataDxfId="57"/>
    <tableColumn id="4" xr3:uid="{579A6A62-0B71-431B-892C-1DDD5CF7D81A}" name="Category" dataDxfId="56"/>
    <tableColumn id="5" xr3:uid="{528107F7-57D2-49E8-9051-26B96120387B}" name="Subcategory" dataDxfId="55"/>
    <tableColumn id="6" xr3:uid="{B17B2732-B636-4976-86A2-CA96148EA8F5}" name="Amount" dataDxfId="54"/>
    <tableColumn id="7" xr3:uid="{ABB85FCA-1CD6-43B7-87DA-3E69D2AF155C}" name="Payment Method" dataDxfId="53"/>
    <tableColumn id="8" xr3:uid="{B1430FD6-F785-4A4E-9C2B-C978EF99A04D}" name="Account" dataDxfId="52"/>
    <tableColumn id="9" xr3:uid="{A45F2E5F-1DCD-4232-ACCD-3595B1679196}" name="Person" dataDxfId="51"/>
    <tableColumn id="10" xr3:uid="{55C147D9-5549-4E94-9BB9-9515B38F0308}" name="Recurring" dataDxfId="50"/>
    <tableColumn id="11" xr3:uid="{BEB2C13F-8E5F-437A-A365-ECAC357932D8}" name="Notes" dataDxfId="49"/>
    <tableColumn id="12" xr3:uid="{CA46B179-E996-4A23-A972-41261F8C9472}" name="Month" dataDxfId="48">
      <calculatedColumnFormula>DATE(YEAR(tblTransactions[[#This Row],[Date]]),MONTH(tblTransactions[[#This Row],[Date]]),1)</calculatedColumnFormula>
    </tableColumn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F69826AF-F128-4F26-BA9F-064EB744C859}" name="tblBudget" displayName="tblBudget" ref="A4:F20" totalsRowShown="0" headerRowDxfId="39" dataDxfId="38">
  <autoFilter ref="A4:F20" xr:uid="{F69826AF-F128-4F26-BA9F-064EB744C859}"/>
  <tableColumns count="6">
    <tableColumn id="1" xr3:uid="{53393359-5ABE-4801-B869-4D48DC799A14}" name="Category" dataDxfId="45"/>
    <tableColumn id="2" xr3:uid="{B986942E-A57B-4E77-A42A-5693C0E6F986}" name="Monthly Budget" dataDxfId="44"/>
    <tableColumn id="3" xr3:uid="{9661268C-7E52-47EF-97AD-CA244820F72F}" name="Actual Spending" dataDxfId="43">
      <calculatedColumnFormula>SUMIFS(tblTransactions[Amount],tblTransactions[Type],"Expense",tblTransactions[Category],tblBudget[[#This Row],[Category]],tblTransactions[Date],"&gt;="&amp;$B$2,tblTransactions[Date],"&lt;"&amp;EDATE($B$2,1))</calculatedColumnFormula>
    </tableColumn>
    <tableColumn id="4" xr3:uid="{34533429-5FE4-4065-8FF5-8878245ABDB9}" name="Remaining Budget" dataDxfId="42">
      <calculatedColumnFormula>tblBudget[[#This Row],[Monthly Budget]]-tblBudget[[#This Row],[Actual Spending]]</calculatedColumnFormula>
    </tableColumn>
    <tableColumn id="5" xr3:uid="{7D005BB0-5C29-4E2D-BD63-DB2A1D100099}" name="% of Budget Used" dataDxfId="41">
      <calculatedColumnFormula>IFERROR(tblBudget[[#This Row],[Actual Spending]]/tblBudget[[#This Row],[Monthly Budget]],0)</calculatedColumnFormula>
    </tableColumn>
    <tableColumn id="6" xr3:uid="{32CF4A65-4BC2-4282-BAB5-F6F87C428FF6}" name="Status" dataDxfId="40">
      <calculatedColumnFormula>IF(tblBudget[[#This Row],[% of Budget Used]]&gt;1,"Over Budget",IF(tblBudget[[#This Row],[% of Budget Used]]&gt;=0.85,"Close","Under Budget"))</calculatedColumnFormula>
    </tableColumn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5499CC0-3C0E-4E82-864B-116C8772ADF6}" name="tblCategories" displayName="tblCategories" ref="A4:D41" totalsRowShown="0" headerRowDxfId="33" dataDxfId="32">
  <autoFilter ref="A4:D41" xr:uid="{85499CC0-3C0E-4E82-864B-116C8772ADF6}"/>
  <tableColumns count="4">
    <tableColumn id="1" xr3:uid="{32239C07-B795-42C1-999C-6E94B4110368}" name="Category" dataDxfId="37"/>
    <tableColumn id="2" xr3:uid="{4F3A2CF4-91F8-4F1D-937E-4494E77BD499}" name="Subcategory" dataDxfId="36"/>
    <tableColumn id="3" xr3:uid="{0ADEB1BE-35F4-4445-9CB1-DCE93C11E703}" name="Type" dataDxfId="35"/>
    <tableColumn id="4" xr3:uid="{14DCE43C-33DE-4FC1-946C-7475287AC54E}" name="Cost Class" dataDxfId="34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F14FC559-3C0B-4603-948A-336ED4124934}" name="tblRecurring" displayName="tblRecurring" ref="A5:K10" totalsRowShown="0" headerRowDxfId="20" dataDxfId="19">
  <autoFilter ref="A5:K10" xr:uid="{F14FC559-3C0B-4603-948A-336ED4124934}"/>
  <tableColumns count="11">
    <tableColumn id="1" xr3:uid="{201003D1-E544-49B3-ABC9-89C861A87DD5}" name="Expense Name" dataDxfId="31"/>
    <tableColumn id="2" xr3:uid="{45DBA35A-F0BA-40C9-9A78-801B274AAFC2}" name="Category" dataDxfId="30"/>
    <tableColumn id="3" xr3:uid="{7E0F8D40-AF4C-497C-A76E-A094B40340BF}" name="Amount" dataDxfId="29"/>
    <tableColumn id="4" xr3:uid="{7FA86FBA-3ABF-47EF-A24E-5A5C4C764328}" name="Frequency" dataDxfId="28"/>
    <tableColumn id="5" xr3:uid="{18540796-16F9-4484-BDFD-B211D16D5364}" name="Due Day" dataDxfId="27"/>
    <tableColumn id="6" xr3:uid="{711DF228-2DF0-48B0-A251-1442F816044C}" name="Payment Method" dataDxfId="26"/>
    <tableColumn id="7" xr3:uid="{5B2F78E5-33AC-4696-BDD2-8E608C7E0985}" name="Status" dataDxfId="25"/>
    <tableColumn id="8" xr3:uid="{0D9EE83A-186F-4223-BAAC-FFE00F9F2707}" name="Notes" dataDxfId="24"/>
    <tableColumn id="9" xr3:uid="{D337972F-AFEC-4502-A199-53DC39D5ACE0}" name="Monthly Equivalent" dataDxfId="23">
      <calculatedColumnFormula array="1">IF(tblRecurring[[#This Row],[Status]]="Inactive",0,_xlfn.SWITCH(tblRecurring[[#This Row],[Frequency]],"Weekly",tblRecurring[[#This Row],[Amount]]*52/12,"Biweekly",tblRecurring[[#This Row],[Amount]]*26/12,"Monthly",tblRecurring[[#This Row],[Amount]],"Quarterly",tblRecurring[[#This Row],[Amount]]/3,"Semiannual",tblRecurring[[#This Row],[Amount]]/6,"Annual",tblRecurring[[#This Row],[Amount]]/12,0))</calculatedColumnFormula>
    </tableColumn>
    <tableColumn id="10" xr3:uid="{39522047-68E5-4453-902E-45697A65650D}" name="Annual Cost" dataDxfId="22">
      <calculatedColumnFormula>tblRecurring[[#This Row],[Monthly Equivalent]]*12</calculatedColumnFormula>
    </tableColumn>
    <tableColumn id="11" xr3:uid="{2415E7B7-7140-49A7-A8FC-FCC6D17F7591}" name="Next Expected Payment" dataDxfId="21">
      <calculatedColumnFormula>IF(tblRecurring[[#This Row],[Status]]="Inactive","",DATE(YEAR(TODAY()),MONTH(TODAY())+(DAY(TODAY())&gt;tblRecurring[[#This Row],[Due Day]]),tblRecurring[[#This Row],[Due Day]]))</calculatedColumnFormula>
    </tableColumn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4C062A4E-DDC7-4667-BF86-716E256FBEB6}" name="tblGoals" displayName="tblGoals" ref="A4:H9" totalsRowShown="0" headerRowDxfId="10" dataDxfId="9">
  <autoFilter ref="A4:H9" xr:uid="{4C062A4E-DDC7-4667-BF86-716E256FBEB6}"/>
  <tableColumns count="8">
    <tableColumn id="1" xr3:uid="{00A2D242-5208-46E2-9521-EA006352B3BB}" name="Goal Name" dataDxfId="18"/>
    <tableColumn id="2" xr3:uid="{39D3CF2F-907F-4CE6-A6B1-53BAF7295EC3}" name="Target Amount" dataDxfId="17"/>
    <tableColumn id="3" xr3:uid="{93D8150A-7AD9-4184-A390-64C705113158}" name="Current Amount" dataDxfId="16"/>
    <tableColumn id="4" xr3:uid="{D322E719-11FE-43CF-AA88-F69DA06F46F3}" name="Target Date" dataDxfId="15"/>
    <tableColumn id="5" xr3:uid="{76AA0A53-B5A5-43D5-BCA5-BBDB5522C6A8}" name="Monthly Contribution" dataDxfId="14"/>
    <tableColumn id="6" xr3:uid="{9A3A54A3-CAB5-421D-B66E-851A5BB9CDCB}" name="Remaining Amount" dataDxfId="13">
      <calculatedColumnFormula>MAX(0,tblGoals[[#This Row],[Target Amount]]-tblGoals[[#This Row],[Current Amount]])</calculatedColumnFormula>
    </tableColumn>
    <tableColumn id="7" xr3:uid="{2544C9BE-F0B2-44E3-8B89-88633920D192}" name="Progress %" dataDxfId="12">
      <calculatedColumnFormula>IFERROR(tblGoals[[#This Row],[Current Amount]]/tblGoals[[#This Row],[Target Amount]],0)</calculatedColumnFormula>
    </tableColumn>
    <tableColumn id="8" xr3:uid="{4909E38F-110C-4559-B631-5AE6A777AE61}" name="Status" dataDxfId="11">
      <calculatedColumnFormula>IF(tblGoals[[#This Row],[Progress %]]&gt;=1,"Complete",IF(tblGoals[[#This Row],[Monthly Contribution]]&lt;=0,"No contribution",IF(EDATE(TODAY(),ROUNDUP(tblGoals[[#This Row],[Remaining Amount]]/tblGoals[[#This Row],[Monthly Contribution]],0))&lt;=tblGoals[[#This Row],[Target Date]],"On Track","Needs Attention")))</calculatedColumnFormula>
    </tableColumn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8588150-C0ED-4072-B7D4-357558AD0B42}" name="tblYearly" displayName="tblYearly" ref="A4:G16" totalsRowShown="0" headerRowDxfId="1" dataDxfId="0">
  <autoFilter ref="A4:G16" xr:uid="{08588150-C0ED-4072-B7D4-357558AD0B42}"/>
  <tableColumns count="7">
    <tableColumn id="1" xr3:uid="{A1F4BCC1-E572-4B76-97A5-3F11128391A2}" name="Month" dataDxfId="8"/>
    <tableColumn id="2" xr3:uid="{70BE00E3-D2C3-4084-AC88-5CD2489A3979}" name="Total Income" dataDxfId="7">
      <calculatedColumnFormula>SUMIFS(tblTransactions[Amount],tblTransactions[Type],"Income",tblTransactions[Date],"&gt;="&amp;A5,tblTransactions[Date],"&lt;"&amp;EDATE(A5,1))</calculatedColumnFormula>
    </tableColumn>
    <tableColumn id="3" xr3:uid="{25C97EA3-6F71-4B66-9B18-F1E778A204F2}" name="Total Expenses" dataDxfId="6">
      <calculatedColumnFormula>SUMIFS(tblTransactions[Amount],tblTransactions[Type],"Expense",tblTransactions[Date],"&gt;="&amp;A5,tblTransactions[Date],"&lt;"&amp;EDATE(A5,1))</calculatedColumnFormula>
    </tableColumn>
    <tableColumn id="4" xr3:uid="{A5E4DD13-2A6F-4F2D-8F41-64322C768D13}" name="Savings" dataDxfId="5">
      <calculatedColumnFormula>B5-C5</calculatedColumnFormula>
    </tableColumn>
    <tableColumn id="5" xr3:uid="{137931FF-51C8-4144-8541-529A14E467BB}" name="Savings Rate" dataDxfId="4">
      <calculatedColumnFormula>IFERROR(D5/B5,0)</calculatedColumnFormula>
    </tableColumn>
    <tableColumn id="6" xr3:uid="{2915A15B-BD45-4B86-9AF3-800DA8C516A5}" name="Budget" dataDxfId="3">
      <calculatedColumnFormula>SUM(tblBudget[Monthly Budget])</calculatedColumnFormula>
    </tableColumn>
    <tableColumn id="7" xr3:uid="{96ECEFEF-FED0-4DA0-8D01-DD444B64903B}" name="Budget Variance" dataDxfId="2">
      <calculatedColumnFormula>F5-C5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081C37-25B8-4C4A-83C9-4FC0EBC9A9C0}">
  <dimension ref="A1:AH52"/>
  <sheetViews>
    <sheetView showGridLines="0" tabSelected="1" workbookViewId="0">
      <selection sqref="A1:U1"/>
    </sheetView>
  </sheetViews>
  <sheetFormatPr defaultRowHeight="15" x14ac:dyDescent="0.25"/>
  <cols>
    <col min="24" max="34" width="0" hidden="1" customWidth="1"/>
  </cols>
  <sheetData>
    <row r="1" spans="1:34" ht="31.5" x14ac:dyDescent="0.25">
      <c r="A1" s="7" t="s">
        <v>164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</row>
    <row r="2" spans="1:34" x14ac:dyDescent="0.25">
      <c r="A2" s="9" t="s">
        <v>165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</row>
    <row r="3" spans="1:34" x14ac:dyDescent="0.25">
      <c r="A3" s="10" t="s">
        <v>166</v>
      </c>
      <c r="B3" s="11">
        <v>46266</v>
      </c>
      <c r="C3" s="11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</row>
    <row r="4" spans="1:34" x14ac:dyDescent="0.25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 t="s">
        <v>2</v>
      </c>
      <c r="Y4" s="8" t="s">
        <v>175</v>
      </c>
      <c r="Z4" s="8" t="s">
        <v>161</v>
      </c>
      <c r="AA4" s="8" t="s">
        <v>104</v>
      </c>
      <c r="AB4" s="8" t="s">
        <v>60</v>
      </c>
      <c r="AC4" s="8" t="s">
        <v>176</v>
      </c>
      <c r="AD4" s="8" t="s">
        <v>159</v>
      </c>
      <c r="AE4" s="8"/>
      <c r="AF4" s="8" t="s">
        <v>177</v>
      </c>
      <c r="AG4" s="8" t="s">
        <v>98</v>
      </c>
      <c r="AH4" s="8" t="s">
        <v>179</v>
      </c>
    </row>
    <row r="5" spans="1:34" x14ac:dyDescent="0.25">
      <c r="A5" s="12" t="s">
        <v>167</v>
      </c>
      <c r="B5" s="12"/>
      <c r="C5" s="12"/>
      <c r="D5" s="12" t="s">
        <v>168</v>
      </c>
      <c r="E5" s="12"/>
      <c r="F5" s="12"/>
      <c r="G5" s="12" t="s">
        <v>169</v>
      </c>
      <c r="H5" s="12"/>
      <c r="I5" s="12"/>
      <c r="J5" s="13" t="s">
        <v>170</v>
      </c>
      <c r="K5" s="13"/>
      <c r="L5" s="13"/>
      <c r="M5" s="13" t="s">
        <v>171</v>
      </c>
      <c r="N5" s="13"/>
      <c r="O5" s="13"/>
      <c r="P5" s="13" t="s">
        <v>172</v>
      </c>
      <c r="Q5" s="13"/>
      <c r="R5" s="13"/>
      <c r="S5" s="13" t="s">
        <v>173</v>
      </c>
      <c r="T5" s="13"/>
      <c r="U5" s="13"/>
      <c r="V5" s="8"/>
      <c r="W5" s="8"/>
      <c r="X5" s="8" t="s">
        <v>6</v>
      </c>
      <c r="Y5" s="14">
        <f>SUMIFS(tblTransactions[Amount],tblTransactions[Type],"Expense",tblTransactions[Category],X5,tblTransactions[Date],"&gt;="&amp;$B$3,tblTransactions[Date],"&lt;"&amp;EDATE($B$3,1))</f>
        <v>1850</v>
      </c>
      <c r="Z5" s="14">
        <f>SUMIFS(tblBudget[Monthly Budget],tblBudget[Category],X5)</f>
        <v>1900</v>
      </c>
      <c r="AA5" s="15">
        <f>EDATE($B$3,-11)</f>
        <v>45931</v>
      </c>
      <c r="AB5" s="14">
        <f>SUMIFS(tblTransactions[Amount],tblTransactions[Type],"Income",tblTransactions[Date],"&gt;="&amp;AA5,tblTransactions[Date],"&lt;"&amp;EDATE(AA5,1))</f>
        <v>0</v>
      </c>
      <c r="AC5" s="14">
        <f>SUMIFS(tblTransactions[Amount],tblTransactions[Type],"Expense",tblTransactions[Date],"&gt;="&amp;AA5,tblTransactions[Date],"&lt;"&amp;EDATE(AA5,1))</f>
        <v>0</v>
      </c>
      <c r="AD5" s="14">
        <f>AB5-AC5</f>
        <v>0</v>
      </c>
      <c r="AE5" s="8"/>
      <c r="AF5" s="8" t="s">
        <v>9</v>
      </c>
      <c r="AG5" s="14">
        <f>SUMIFS(tblTransactions[Amount],tblTransactions[Type],"Expense",tblTransactions[Recurring],"Yes",tblTransactions[Date],"&gt;="&amp;$B$3,tblTransactions[Date],"&lt;"&amp;EDATE($B$3,1))</f>
        <v>2150</v>
      </c>
      <c r="AH5" s="14">
        <f>Y5-Z5</f>
        <v>-50</v>
      </c>
    </row>
    <row r="6" spans="1:34" x14ac:dyDescent="0.25">
      <c r="A6" s="1">
        <f>SUMIFS(tblTransactions[Amount],tblTransactions[Type],"Income",tblTransactions[Date],"&gt;="&amp;$B$3,tblTransactions[Date],"&lt;"&amp;EDATE($B$3,1))</f>
        <v>7800</v>
      </c>
      <c r="B6" s="1"/>
      <c r="C6" s="1"/>
      <c r="D6" s="1">
        <f>SUMIFS(tblTransactions[Amount],tblTransactions[Type],"Expense",tblTransactions[Date],"&gt;="&amp;$B$3,tblTransactions[Date],"&lt;"&amp;EDATE($B$3,1))</f>
        <v>3465</v>
      </c>
      <c r="E6" s="1"/>
      <c r="F6" s="1"/>
      <c r="G6" s="1">
        <f>A6-D6</f>
        <v>4335</v>
      </c>
      <c r="H6" s="1"/>
      <c r="I6" s="1"/>
      <c r="J6" s="1">
        <f>A6-D6</f>
        <v>4335</v>
      </c>
      <c r="K6" s="1"/>
      <c r="L6" s="1"/>
      <c r="M6" s="2">
        <f>IFERROR(J6/A6,0)</f>
        <v>0.55576923076923079</v>
      </c>
      <c r="N6" s="2"/>
      <c r="O6" s="2"/>
      <c r="P6" s="3" t="str">
        <f>IF(MAX($Y$5:$Y$20)=0,"—",INDEX($X$5:$X$20,MATCH(MAX($Y$5:$Y$20),$Y$5:$Y$20,0)))</f>
        <v>Housing</v>
      </c>
      <c r="Q6" s="3"/>
      <c r="R6" s="3"/>
      <c r="S6" s="2">
        <f>IFERROR(D6/SUMIFS(tblTransactions[Amount],tblTransactions[Type],"Expense",tblTransactions[Date],"&gt;="&amp;EDATE($B$3,-1),tblTransactions[Date],"&lt;"&amp;$B$3)-1,0)</f>
        <v>0.36417322834645671</v>
      </c>
      <c r="T6" s="2"/>
      <c r="U6" s="2"/>
      <c r="V6" s="8"/>
      <c r="W6" s="8"/>
      <c r="X6" s="8" t="s">
        <v>13</v>
      </c>
      <c r="Y6" s="14">
        <f>SUMIFS(tblTransactions[Amount],tblTransactions[Type],"Expense",tblTransactions[Category],X6,tblTransactions[Date],"&gt;="&amp;$B$3,tblTransactions[Date],"&lt;"&amp;EDATE($B$3,1))</f>
        <v>245</v>
      </c>
      <c r="Z6" s="14">
        <f>SUMIFS(tblBudget[Monthly Budget],tblBudget[Category],X6)</f>
        <v>350</v>
      </c>
      <c r="AA6" s="15">
        <f>EDATE($B$3,-10)</f>
        <v>45962</v>
      </c>
      <c r="AB6" s="14">
        <f>SUMIFS(tblTransactions[Amount],tblTransactions[Type],"Income",tblTransactions[Date],"&gt;="&amp;AA6,tblTransactions[Date],"&lt;"&amp;EDATE(AA6,1))</f>
        <v>0</v>
      </c>
      <c r="AC6" s="14">
        <f>SUMIFS(tblTransactions[Amount],tblTransactions[Type],"Expense",tblTransactions[Date],"&gt;="&amp;AA6,tblTransactions[Date],"&lt;"&amp;EDATE(AA6,1))</f>
        <v>0</v>
      </c>
      <c r="AD6" s="14">
        <f>AB6-AC6</f>
        <v>0</v>
      </c>
      <c r="AE6" s="8"/>
      <c r="AF6" s="8" t="s">
        <v>12</v>
      </c>
      <c r="AG6" s="14">
        <f>SUMIFS(tblTransactions[Amount],tblTransactions[Type],"Expense",tblTransactions[Recurring],"No",tblTransactions[Date],"&gt;="&amp;$B$3,tblTransactions[Date],"&lt;"&amp;EDATE($B$3,1))</f>
        <v>1315</v>
      </c>
      <c r="AH6" s="14">
        <f>Y6-Z6</f>
        <v>-105</v>
      </c>
    </row>
    <row r="7" spans="1:34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2"/>
      <c r="N7" s="2"/>
      <c r="O7" s="2"/>
      <c r="P7" s="3"/>
      <c r="Q7" s="3"/>
      <c r="R7" s="3"/>
      <c r="S7" s="2"/>
      <c r="T7" s="2"/>
      <c r="U7" s="2"/>
      <c r="V7" s="8"/>
      <c r="W7" s="8"/>
      <c r="X7" s="8" t="s">
        <v>18</v>
      </c>
      <c r="Y7" s="14">
        <f>SUMIFS(tblTransactions[Amount],tblTransactions[Type],"Expense",tblTransactions[Category],X7,tblTransactions[Date],"&gt;="&amp;$B$3,tblTransactions[Date],"&lt;"&amp;EDATE($B$3,1))</f>
        <v>735</v>
      </c>
      <c r="Z7" s="14">
        <f>SUMIFS(tblBudget[Monthly Budget],tblBudget[Category],X7)</f>
        <v>700</v>
      </c>
      <c r="AA7" s="15">
        <f>EDATE($B$3,-9)</f>
        <v>45992</v>
      </c>
      <c r="AB7" s="14">
        <f>SUMIFS(tblTransactions[Amount],tblTransactions[Type],"Income",tblTransactions[Date],"&gt;="&amp;AA7,tblTransactions[Date],"&lt;"&amp;EDATE(AA7,1))</f>
        <v>0</v>
      </c>
      <c r="AC7" s="14">
        <f>SUMIFS(tblTransactions[Amount],tblTransactions[Type],"Expense",tblTransactions[Date],"&gt;="&amp;AA7,tblTransactions[Date],"&lt;"&amp;EDATE(AA7,1))</f>
        <v>0</v>
      </c>
      <c r="AD7" s="14">
        <f>AB7-AC7</f>
        <v>0</v>
      </c>
      <c r="AE7" s="8"/>
      <c r="AF7" s="8"/>
      <c r="AG7" s="8"/>
      <c r="AH7" s="14">
        <f>Y7-Z7</f>
        <v>35</v>
      </c>
    </row>
    <row r="8" spans="1:34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 t="s">
        <v>21</v>
      </c>
      <c r="Y8" s="14">
        <f>SUMIFS(tblTransactions[Amount],tblTransactions[Type],"Expense",tblTransactions[Category],X8,tblTransactions[Date],"&gt;="&amp;$B$3,tblTransactions[Date],"&lt;"&amp;EDATE($B$3,1))</f>
        <v>310</v>
      </c>
      <c r="Z8" s="14">
        <f>SUMIFS(tblBudget[Monthly Budget],tblBudget[Category],X8)</f>
        <v>350</v>
      </c>
      <c r="AA8" s="15">
        <f>EDATE($B$3,-8)</f>
        <v>46023</v>
      </c>
      <c r="AB8" s="14">
        <f>SUMIFS(tblTransactions[Amount],tblTransactions[Type],"Income",tblTransactions[Date],"&gt;="&amp;AA8,tblTransactions[Date],"&lt;"&amp;EDATE(AA8,1))</f>
        <v>7800</v>
      </c>
      <c r="AC8" s="14">
        <f>SUMIFS(tblTransactions[Amount],tblTransactions[Type],"Expense",tblTransactions[Date],"&gt;="&amp;AA8,tblTransactions[Date],"&lt;"&amp;EDATE(AA8,1))</f>
        <v>2390</v>
      </c>
      <c r="AD8" s="14">
        <f>AB8-AC8</f>
        <v>5410</v>
      </c>
      <c r="AE8" s="8"/>
      <c r="AF8" s="8"/>
      <c r="AG8" s="8"/>
      <c r="AH8" s="14">
        <f>Y8-Z8</f>
        <v>-40</v>
      </c>
    </row>
    <row r="9" spans="1:34" x14ac:dyDescent="0.25">
      <c r="A9" s="16" t="s">
        <v>174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8"/>
      <c r="W9" s="8"/>
      <c r="X9" s="8" t="s">
        <v>24</v>
      </c>
      <c r="Y9" s="14">
        <f>SUMIFS(tblTransactions[Amount],tblTransactions[Type],"Expense",tblTransactions[Category],X9,tblTransactions[Date],"&gt;="&amp;$B$3,tblTransactions[Date],"&lt;"&amp;EDATE($B$3,1))</f>
        <v>180</v>
      </c>
      <c r="Z9" s="14">
        <f>SUMIFS(tblBudget[Monthly Budget],tblBudget[Category],X9)</f>
        <v>250</v>
      </c>
      <c r="AA9" s="15">
        <f>EDATE($B$3,-7)</f>
        <v>46054</v>
      </c>
      <c r="AB9" s="14">
        <f>SUMIFS(tblTransactions[Amount],tblTransactions[Type],"Income",tblTransactions[Date],"&gt;="&amp;AA9,tblTransactions[Date],"&lt;"&amp;EDATE(AA9,1))</f>
        <v>7800</v>
      </c>
      <c r="AC9" s="14">
        <f>SUMIFS(tblTransactions[Amount],tblTransactions[Type],"Expense",tblTransactions[Date],"&gt;="&amp;AA9,tblTransactions[Date],"&lt;"&amp;EDATE(AA9,1))</f>
        <v>2070</v>
      </c>
      <c r="AD9" s="14">
        <f>AB9-AC9</f>
        <v>5730</v>
      </c>
      <c r="AE9" s="8"/>
      <c r="AF9" s="8"/>
      <c r="AG9" s="8"/>
      <c r="AH9" s="14">
        <f>Y9-Z9</f>
        <v>-70</v>
      </c>
    </row>
    <row r="10" spans="1:34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 t="s">
        <v>27</v>
      </c>
      <c r="Y10" s="14">
        <f>SUMIFS(tblTransactions[Amount],tblTransactions[Type],"Expense",tblTransactions[Category],X10,tblTransactions[Date],"&gt;="&amp;$B$3,tblTransactions[Date],"&lt;"&amp;EDATE($B$3,1))</f>
        <v>0</v>
      </c>
      <c r="Z10" s="14">
        <f>SUMIFS(tblBudget[Monthly Budget],tblBudget[Category],X10)</f>
        <v>200</v>
      </c>
      <c r="AA10" s="15">
        <f>EDATE($B$3,-6)</f>
        <v>46082</v>
      </c>
      <c r="AB10" s="14">
        <f>SUMIFS(tblTransactions[Amount],tblTransactions[Type],"Income",tblTransactions[Date],"&gt;="&amp;AA10,tblTransactions[Date],"&lt;"&amp;EDATE(AA10,1))</f>
        <v>7800</v>
      </c>
      <c r="AC10" s="14">
        <f>SUMIFS(tblTransactions[Amount],tblTransactions[Type],"Expense",tblTransactions[Date],"&gt;="&amp;AA10,tblTransactions[Date],"&lt;"&amp;EDATE(AA10,1))</f>
        <v>2800</v>
      </c>
      <c r="AD10" s="14">
        <f>AB10-AC10</f>
        <v>5000</v>
      </c>
      <c r="AE10" s="8"/>
      <c r="AF10" s="8"/>
      <c r="AG10" s="8"/>
      <c r="AH10" s="14">
        <f>Y10-Z10</f>
        <v>-200</v>
      </c>
    </row>
    <row r="11" spans="1:34" x14ac:dyDescent="0.25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 t="s">
        <v>30</v>
      </c>
      <c r="Y11" s="14">
        <f>SUMIFS(tblTransactions[Amount],tblTransactions[Type],"Expense",tblTransactions[Category],X11,tblTransactions[Date],"&gt;="&amp;$B$3,tblTransactions[Date],"&lt;"&amp;EDATE($B$3,1))</f>
        <v>90</v>
      </c>
      <c r="Z11" s="14">
        <f>SUMIFS(tblBudget[Monthly Budget],tblBudget[Category],X11)</f>
        <v>250</v>
      </c>
      <c r="AA11" s="15">
        <f>EDATE($B$3,-5)</f>
        <v>46113</v>
      </c>
      <c r="AB11" s="14">
        <f>SUMIFS(tblTransactions[Amount],tblTransactions[Type],"Income",tblTransactions[Date],"&gt;="&amp;AA11,tblTransactions[Date],"&lt;"&amp;EDATE(AA11,1))</f>
        <v>7800</v>
      </c>
      <c r="AC11" s="14">
        <f>SUMIFS(tblTransactions[Amount],tblTransactions[Type],"Expense",tblTransactions[Date],"&gt;="&amp;AA11,tblTransactions[Date],"&lt;"&amp;EDATE(AA11,1))</f>
        <v>2460</v>
      </c>
      <c r="AD11" s="14">
        <f>AB11-AC11</f>
        <v>5340</v>
      </c>
      <c r="AE11" s="8"/>
      <c r="AF11" s="8"/>
      <c r="AG11" s="8"/>
      <c r="AH11" s="14">
        <f>Y11-Z11</f>
        <v>-160</v>
      </c>
    </row>
    <row r="12" spans="1:34" x14ac:dyDescent="0.25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 t="s">
        <v>33</v>
      </c>
      <c r="Y12" s="14">
        <f>SUMIFS(tblTransactions[Amount],tblTransactions[Type],"Expense",tblTransactions[Category],X12,tblTransactions[Date],"&gt;="&amp;$B$3,tblTransactions[Date],"&lt;"&amp;EDATE($B$3,1))</f>
        <v>0</v>
      </c>
      <c r="Z12" s="14">
        <f>SUMIFS(tblBudget[Monthly Budget],tblBudget[Category],X12)</f>
        <v>300</v>
      </c>
      <c r="AA12" s="15">
        <f>EDATE($B$3,-4)</f>
        <v>46143</v>
      </c>
      <c r="AB12" s="14">
        <f>SUMIFS(tblTransactions[Amount],tblTransactions[Type],"Income",tblTransactions[Date],"&gt;="&amp;AA12,tblTransactions[Date],"&lt;"&amp;EDATE(AA12,1))</f>
        <v>7800</v>
      </c>
      <c r="AC12" s="14">
        <f>SUMIFS(tblTransactions[Amount],tblTransactions[Type],"Expense",tblTransactions[Date],"&gt;="&amp;AA12,tblTransactions[Date],"&lt;"&amp;EDATE(AA12,1))</f>
        <v>2630</v>
      </c>
      <c r="AD12" s="14">
        <f>AB12-AC12</f>
        <v>5170</v>
      </c>
      <c r="AE12" s="8"/>
      <c r="AF12" s="8"/>
      <c r="AG12" s="8"/>
      <c r="AH12" s="14">
        <f>Y12-Z12</f>
        <v>-300</v>
      </c>
    </row>
    <row r="13" spans="1:34" x14ac:dyDescent="0.25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 t="s">
        <v>36</v>
      </c>
      <c r="Y13" s="14">
        <f>SUMIFS(tblTransactions[Amount],tblTransactions[Type],"Expense",tblTransactions[Category],X13,tblTransactions[Date],"&gt;="&amp;$B$3,tblTransactions[Date],"&lt;"&amp;EDATE($B$3,1))</f>
        <v>0</v>
      </c>
      <c r="Z13" s="14">
        <f>SUMIFS(tblBudget[Monthly Budget],tblBudget[Category],X13)</f>
        <v>300</v>
      </c>
      <c r="AA13" s="15">
        <f>EDATE($B$3,-3)</f>
        <v>46174</v>
      </c>
      <c r="AB13" s="14">
        <f>SUMIFS(tblTransactions[Amount],tblTransactions[Type],"Income",tblTransactions[Date],"&gt;="&amp;AA13,tblTransactions[Date],"&lt;"&amp;EDATE(AA13,1))</f>
        <v>7800</v>
      </c>
      <c r="AC13" s="14">
        <f>SUMIFS(tblTransactions[Amount],tblTransactions[Type],"Expense",tblTransactions[Date],"&gt;="&amp;AA13,tblTransactions[Date],"&lt;"&amp;EDATE(AA13,1))</f>
        <v>2280</v>
      </c>
      <c r="AD13" s="14">
        <f>AB13-AC13</f>
        <v>5520</v>
      </c>
      <c r="AE13" s="8"/>
      <c r="AF13" s="8"/>
      <c r="AG13" s="8"/>
      <c r="AH13" s="14">
        <f>Y13-Z13</f>
        <v>-300</v>
      </c>
    </row>
    <row r="14" spans="1:34" x14ac:dyDescent="0.25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 t="s">
        <v>39</v>
      </c>
      <c r="Y14" s="14">
        <f>SUMIFS(tblTransactions[Amount],tblTransactions[Type],"Expense",tblTransactions[Category],X14,tblTransactions[Date],"&gt;="&amp;$B$3,tblTransactions[Date],"&lt;"&amp;EDATE($B$3,1))</f>
        <v>55</v>
      </c>
      <c r="Z14" s="14">
        <f>SUMIFS(tblBudget[Monthly Budget],tblBudget[Category],X14)</f>
        <v>200</v>
      </c>
      <c r="AA14" s="15">
        <f>EDATE($B$3,-2)</f>
        <v>46204</v>
      </c>
      <c r="AB14" s="14">
        <f>SUMIFS(tblTransactions[Amount],tblTransactions[Type],"Income",tblTransactions[Date],"&gt;="&amp;AA14,tblTransactions[Date],"&lt;"&amp;EDATE(AA14,1))</f>
        <v>7800</v>
      </c>
      <c r="AC14" s="14">
        <f>SUMIFS(tblTransactions[Amount],tblTransactions[Type],"Expense",tblTransactions[Date],"&gt;="&amp;AA14,tblTransactions[Date],"&lt;"&amp;EDATE(AA14,1))</f>
        <v>3100</v>
      </c>
      <c r="AD14" s="14">
        <f>AB14-AC14</f>
        <v>4700</v>
      </c>
      <c r="AE14" s="8"/>
      <c r="AF14" s="8"/>
      <c r="AG14" s="8"/>
      <c r="AH14" s="14">
        <f>Y14-Z14</f>
        <v>-145</v>
      </c>
    </row>
    <row r="15" spans="1:34" x14ac:dyDescent="0.25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 t="s">
        <v>42</v>
      </c>
      <c r="Y15" s="14">
        <f>SUMIFS(tblTransactions[Amount],tblTransactions[Type],"Expense",tblTransactions[Category],X15,tblTransactions[Date],"&gt;="&amp;$B$3,tblTransactions[Date],"&lt;"&amp;EDATE($B$3,1))</f>
        <v>0</v>
      </c>
      <c r="Z15" s="14">
        <f>SUMIFS(tblBudget[Monthly Budget],tblBudget[Category],X15)</f>
        <v>400</v>
      </c>
      <c r="AA15" s="15">
        <f>EDATE($B$3,-1)</f>
        <v>46235</v>
      </c>
      <c r="AB15" s="14">
        <f>SUMIFS(tblTransactions[Amount],tblTransactions[Type],"Income",tblTransactions[Date],"&gt;="&amp;AA15,tblTransactions[Date],"&lt;"&amp;EDATE(AA15,1))</f>
        <v>7800</v>
      </c>
      <c r="AC15" s="14">
        <f>SUMIFS(tblTransactions[Amount],tblTransactions[Type],"Expense",tblTransactions[Date],"&gt;="&amp;AA15,tblTransactions[Date],"&lt;"&amp;EDATE(AA15,1))</f>
        <v>2540</v>
      </c>
      <c r="AD15" s="14">
        <f>AB15-AC15</f>
        <v>5260</v>
      </c>
      <c r="AE15" s="8"/>
      <c r="AF15" s="8"/>
      <c r="AG15" s="8"/>
      <c r="AH15" s="14">
        <f>Y15-Z15</f>
        <v>-400</v>
      </c>
    </row>
    <row r="16" spans="1:34" x14ac:dyDescent="0.25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 t="s">
        <v>45</v>
      </c>
      <c r="Y16" s="14">
        <f>SUMIFS(tblTransactions[Amount],tblTransactions[Type],"Expense",tblTransactions[Category],X16,tblTransactions[Date],"&gt;="&amp;$B$3,tblTransactions[Date],"&lt;"&amp;EDATE($B$3,1))</f>
        <v>0</v>
      </c>
      <c r="Z16" s="14">
        <f>SUMIFS(tblBudget[Monthly Budget],tblBudget[Category],X16)</f>
        <v>120</v>
      </c>
      <c r="AA16" s="15">
        <f>EDATE($B$3,0)</f>
        <v>46266</v>
      </c>
      <c r="AB16" s="14">
        <f>SUMIFS(tblTransactions[Amount],tblTransactions[Type],"Income",tblTransactions[Date],"&gt;="&amp;AA16,tblTransactions[Date],"&lt;"&amp;EDATE(AA16,1))</f>
        <v>7800</v>
      </c>
      <c r="AC16" s="14">
        <f>SUMIFS(tblTransactions[Amount],tblTransactions[Type],"Expense",tblTransactions[Date],"&gt;="&amp;AA16,tblTransactions[Date],"&lt;"&amp;EDATE(AA16,1))</f>
        <v>3465</v>
      </c>
      <c r="AD16" s="14">
        <f>AB16-AC16</f>
        <v>4335</v>
      </c>
      <c r="AE16" s="8"/>
      <c r="AF16" s="8"/>
      <c r="AG16" s="8"/>
      <c r="AH16" s="14">
        <f>Y16-Z16</f>
        <v>-120</v>
      </c>
    </row>
    <row r="17" spans="1:34" x14ac:dyDescent="0.25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 t="s">
        <v>48</v>
      </c>
      <c r="Y17" s="14">
        <f>SUMIFS(tblTransactions[Amount],tblTransactions[Type],"Expense",tblTransactions[Category],X17,tblTransactions[Date],"&gt;="&amp;$B$3,tblTransactions[Date],"&lt;"&amp;EDATE($B$3,1))</f>
        <v>0</v>
      </c>
      <c r="Z17" s="14">
        <f>SUMIFS(tblBudget[Monthly Budget],tblBudget[Category],X17)</f>
        <v>100</v>
      </c>
      <c r="AA17" s="8"/>
      <c r="AB17" s="8"/>
      <c r="AC17" s="8"/>
      <c r="AD17" s="8"/>
      <c r="AE17" s="8"/>
      <c r="AF17" s="8"/>
      <c r="AG17" s="8"/>
      <c r="AH17" s="14">
        <f>Y17-Z17</f>
        <v>-100</v>
      </c>
    </row>
    <row r="18" spans="1:34" x14ac:dyDescent="0.25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 t="s">
        <v>51</v>
      </c>
      <c r="Y18" s="14">
        <f>SUMIFS(tblTransactions[Amount],tblTransactions[Type],"Expense",tblTransactions[Category],X18,tblTransactions[Date],"&gt;="&amp;$B$3,tblTransactions[Date],"&lt;"&amp;EDATE($B$3,1))</f>
        <v>0</v>
      </c>
      <c r="Z18" s="14">
        <f>SUMIFS(tblBudget[Monthly Budget],tblBudget[Category],X18)</f>
        <v>180</v>
      </c>
      <c r="AA18" s="8"/>
      <c r="AB18" s="8"/>
      <c r="AC18" s="8"/>
      <c r="AD18" s="8"/>
      <c r="AE18" s="8"/>
      <c r="AF18" s="8"/>
      <c r="AG18" s="8"/>
      <c r="AH18" s="14">
        <f>Y18-Z18</f>
        <v>-180</v>
      </c>
    </row>
    <row r="19" spans="1:34" x14ac:dyDescent="0.25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 t="s">
        <v>53</v>
      </c>
      <c r="Y19" s="14">
        <f>SUMIFS(tblTransactions[Amount],tblTransactions[Type],"Expense",tblTransactions[Category],X19,tblTransactions[Date],"&gt;="&amp;$B$3,tblTransactions[Date],"&lt;"&amp;EDATE($B$3,1))</f>
        <v>0</v>
      </c>
      <c r="Z19" s="14">
        <f>SUMIFS(tblBudget[Monthly Budget],tblBudget[Category],X19)</f>
        <v>250</v>
      </c>
      <c r="AA19" s="8"/>
      <c r="AB19" s="8"/>
      <c r="AC19" s="8"/>
      <c r="AD19" s="8"/>
      <c r="AE19" s="8"/>
      <c r="AF19" s="8"/>
      <c r="AG19" s="8"/>
      <c r="AH19" s="14">
        <f>Y19-Z19</f>
        <v>-250</v>
      </c>
    </row>
    <row r="20" spans="1:34" x14ac:dyDescent="0.25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 t="s">
        <v>56</v>
      </c>
      <c r="Y20" s="14">
        <f>SUMIFS(tblTransactions[Amount],tblTransactions[Type],"Expense",tblTransactions[Category],X20,tblTransactions[Date],"&gt;="&amp;$B$3,tblTransactions[Date],"&lt;"&amp;EDATE($B$3,1))</f>
        <v>0</v>
      </c>
      <c r="Z20" s="14">
        <f>SUMIFS(tblBudget[Monthly Budget],tblBudget[Category],X20)</f>
        <v>150</v>
      </c>
      <c r="AA20" s="8"/>
      <c r="AB20" s="8"/>
      <c r="AC20" s="8"/>
      <c r="AD20" s="8"/>
      <c r="AE20" s="8"/>
      <c r="AF20" s="8"/>
      <c r="AG20" s="8"/>
      <c r="AH20" s="14">
        <f>Y20-Z20</f>
        <v>-150</v>
      </c>
    </row>
    <row r="21" spans="1:34" x14ac:dyDescent="0.25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</row>
    <row r="22" spans="1:34" x14ac:dyDescent="0.25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</row>
    <row r="23" spans="1:34" x14ac:dyDescent="0.25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</row>
    <row r="24" spans="1:34" x14ac:dyDescent="0.25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</row>
    <row r="25" spans="1:34" x14ac:dyDescent="0.25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</row>
    <row r="26" spans="1:34" x14ac:dyDescent="0.25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</row>
    <row r="27" spans="1:34" x14ac:dyDescent="0.25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</row>
    <row r="28" spans="1:34" x14ac:dyDescent="0.25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</row>
    <row r="29" spans="1:34" x14ac:dyDescent="0.25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</row>
    <row r="30" spans="1:34" x14ac:dyDescent="0.25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</row>
    <row r="31" spans="1:34" x14ac:dyDescent="0.25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</row>
    <row r="32" spans="1:34" x14ac:dyDescent="0.25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</row>
    <row r="33" spans="1:34" x14ac:dyDescent="0.25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</row>
    <row r="34" spans="1:34" x14ac:dyDescent="0.25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</row>
    <row r="35" spans="1:34" x14ac:dyDescent="0.25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</row>
    <row r="36" spans="1:34" x14ac:dyDescent="0.2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</row>
    <row r="37" spans="1:34" x14ac:dyDescent="0.25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</row>
    <row r="38" spans="1:34" x14ac:dyDescent="0.25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</row>
    <row r="39" spans="1:34" x14ac:dyDescent="0.25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</row>
    <row r="40" spans="1:34" x14ac:dyDescent="0.2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</row>
    <row r="41" spans="1:34" x14ac:dyDescent="0.25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</row>
    <row r="42" spans="1:34" x14ac:dyDescent="0.25">
      <c r="A42" s="17" t="s">
        <v>178</v>
      </c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</row>
    <row r="43" spans="1:34" x14ac:dyDescent="0.25">
      <c r="A43" s="18" t="str">
        <f>IF(S6&gt;0,"▲ Spending is "&amp;TEXT(S6,"0.0%")&amp;" higher than last month.","▼ Spending is "&amp;TEXT(ABS(S6),"0.0%")&amp;" lower than last month.")</f>
        <v>▲ Spending is 36% higher than last month.</v>
      </c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</row>
    <row r="44" spans="1:34" x14ac:dyDescent="0.25">
      <c r="A44" s="19" t="str">
        <f>IF(MAX(AH5:AH20)&gt;0,"! "&amp;INDEX(X5:X20,MATCH(MAX(AH5:AH20),AH5:AH20,0))&amp;" is above budget.","✓ All tracked categories are within budget.")</f>
        <v>! Groceries is above budget.</v>
      </c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</row>
    <row r="45" spans="1:34" x14ac:dyDescent="0.25">
      <c r="A45" s="18" t="str">
        <f>IF(AD16&gt;AD15,"▲ Savings increased by €"&amp;TEXT(AD16-AD15,"#,##0")&amp;" from last month.","▼ Savings decreased by €"&amp;TEXT(ABS(AD16-AD15),"#,##0")&amp;" from last month.")</f>
        <v>▼ Savings decreased by €925,0 from last month.</v>
      </c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</row>
    <row r="46" spans="1:34" x14ac:dyDescent="0.25">
      <c r="A46" s="19" t="str">
        <f ca="1">IFERROR("Upcoming recurring payment: "&amp;INDEX(tblRecurring[Expense Name],MATCH(MIN(tblRecurring[Next Expected Payment]),tblRecurring[Next Expected Payment],0))&amp;" (due day "&amp;INDEX(tblRecurring[Due Day],MATCH(MIN(tblRecurring[Next Expected Payment]),tblRecurring[Next Expected Payment],0))&amp;")","No upcoming recurring payment recorded.")</f>
        <v>Upcoming recurring payment: Rent (due day 5)</v>
      </c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</row>
    <row r="47" spans="1:34" x14ac:dyDescent="0.25">
      <c r="A47" s="18" t="str">
        <f ca="1">IF(COUNTIF(tblGoals[Status],"Needs Attention")&gt;0,"! "&amp;COUNTIF(tblGoals[Status],"Needs Attention")&amp;" savings goal(s) need attention.","✓ Savings goals are on track.")</f>
        <v>! 4 savings goal(s) need attention.</v>
      </c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</row>
    <row r="48" spans="1:34" x14ac:dyDescent="0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</row>
    <row r="49" spans="1:34" x14ac:dyDescent="0.25">
      <c r="A49" s="16" t="s">
        <v>180</v>
      </c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</row>
    <row r="50" spans="1:34" x14ac:dyDescent="0.25">
      <c r="A50" s="4" t="s">
        <v>181</v>
      </c>
      <c r="B50" s="4"/>
      <c r="C50" s="4"/>
      <c r="D50" s="5" t="s">
        <v>182</v>
      </c>
      <c r="E50" s="5"/>
      <c r="F50" s="5"/>
      <c r="G50" s="4" t="s">
        <v>183</v>
      </c>
      <c r="H50" s="4"/>
      <c r="I50" s="4"/>
      <c r="J50" s="5" t="s">
        <v>184</v>
      </c>
      <c r="K50" s="5"/>
      <c r="L50" s="5"/>
      <c r="M50" s="4" t="s">
        <v>185</v>
      </c>
      <c r="N50" s="4"/>
      <c r="O50" s="4"/>
      <c r="P50" s="6" t="s">
        <v>186</v>
      </c>
      <c r="Q50" s="6"/>
      <c r="R50" s="6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</row>
    <row r="51" spans="1:34" x14ac:dyDescent="0.25">
      <c r="A51" s="4"/>
      <c r="B51" s="4"/>
      <c r="C51" s="4"/>
      <c r="D51" s="5"/>
      <c r="E51" s="5"/>
      <c r="F51" s="5"/>
      <c r="G51" s="4"/>
      <c r="H51" s="4"/>
      <c r="I51" s="4"/>
      <c r="J51" s="5"/>
      <c r="K51" s="5"/>
      <c r="L51" s="5"/>
      <c r="M51" s="4"/>
      <c r="N51" s="4"/>
      <c r="O51" s="4"/>
      <c r="P51" s="6"/>
      <c r="Q51" s="6"/>
      <c r="R51" s="6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</row>
    <row r="52" spans="1:34" x14ac:dyDescent="0.25">
      <c r="A52" s="4"/>
      <c r="B52" s="4"/>
      <c r="C52" s="4"/>
      <c r="D52" s="5"/>
      <c r="E52" s="5"/>
      <c r="F52" s="5"/>
      <c r="G52" s="4"/>
      <c r="H52" s="4"/>
      <c r="I52" s="4"/>
      <c r="J52" s="5"/>
      <c r="K52" s="5"/>
      <c r="L52" s="5"/>
      <c r="M52" s="4"/>
      <c r="N52" s="4"/>
      <c r="O52" s="4"/>
      <c r="P52" s="6"/>
      <c r="Q52" s="6"/>
      <c r="R52" s="6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</row>
  </sheetData>
  <mergeCells count="31">
    <mergeCell ref="A47:U47"/>
    <mergeCell ref="A49:U49"/>
    <mergeCell ref="A50:C52"/>
    <mergeCell ref="D50:F52"/>
    <mergeCell ref="G50:I52"/>
    <mergeCell ref="J50:L52"/>
    <mergeCell ref="M50:O52"/>
    <mergeCell ref="P50:R52"/>
    <mergeCell ref="A9:U9"/>
    <mergeCell ref="A42:U42"/>
    <mergeCell ref="A43:U43"/>
    <mergeCell ref="A44:U44"/>
    <mergeCell ref="A45:U45"/>
    <mergeCell ref="A46:U46"/>
    <mergeCell ref="J6:L7"/>
    <mergeCell ref="M5:O5"/>
    <mergeCell ref="M6:O7"/>
    <mergeCell ref="P5:R5"/>
    <mergeCell ref="P6:R7"/>
    <mergeCell ref="S5:U5"/>
    <mergeCell ref="S6:U7"/>
    <mergeCell ref="A1:U1"/>
    <mergeCell ref="A2:U2"/>
    <mergeCell ref="B3:C3"/>
    <mergeCell ref="A5:C5"/>
    <mergeCell ref="A6:C7"/>
    <mergeCell ref="D5:F5"/>
    <mergeCell ref="D6:F7"/>
    <mergeCell ref="G5:I5"/>
    <mergeCell ref="G6:I7"/>
    <mergeCell ref="J5:L5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315DDD-4225-4F97-859C-B642ABF4E3CE}">
  <dimension ref="A1:L45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12.7109375" bestFit="1" customWidth="1"/>
    <col min="2" max="2" width="27.5703125" customWidth="1"/>
    <col min="3" max="3" width="8.7109375" bestFit="1" customWidth="1"/>
    <col min="4" max="4" width="24" bestFit="1" customWidth="1"/>
    <col min="5" max="5" width="16.5703125" bestFit="1" customWidth="1"/>
    <col min="6" max="6" width="11" bestFit="1" customWidth="1"/>
    <col min="7" max="7" width="19.85546875" bestFit="1" customWidth="1"/>
    <col min="8" max="8" width="14.42578125" bestFit="1" customWidth="1"/>
    <col min="9" max="9" width="10.28515625" bestFit="1" customWidth="1"/>
    <col min="10" max="10" width="13" bestFit="1" customWidth="1"/>
    <col min="11" max="11" width="32.42578125" customWidth="1"/>
    <col min="12" max="12" width="10" bestFit="1" customWidth="1"/>
  </cols>
  <sheetData>
    <row r="1" spans="1:12" ht="26.25" x14ac:dyDescent="0.25">
      <c r="A1" s="20" t="s">
        <v>94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x14ac:dyDescent="0.25">
      <c r="A2" s="21" t="s">
        <v>95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</row>
    <row r="3" spans="1:12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spans="1:12" x14ac:dyDescent="0.25">
      <c r="A4" s="8" t="s">
        <v>96</v>
      </c>
      <c r="B4" s="8" t="s">
        <v>97</v>
      </c>
      <c r="C4" s="8" t="s">
        <v>4</v>
      </c>
      <c r="D4" s="8" t="s">
        <v>2</v>
      </c>
      <c r="E4" s="8" t="s">
        <v>3</v>
      </c>
      <c r="F4" s="8" t="s">
        <v>98</v>
      </c>
      <c r="G4" s="8" t="s">
        <v>99</v>
      </c>
      <c r="H4" s="8" t="s">
        <v>100</v>
      </c>
      <c r="I4" s="8" t="s">
        <v>101</v>
      </c>
      <c r="J4" s="8" t="s">
        <v>102</v>
      </c>
      <c r="K4" s="8" t="s">
        <v>103</v>
      </c>
      <c r="L4" s="8" t="s">
        <v>104</v>
      </c>
    </row>
    <row r="5" spans="1:12" x14ac:dyDescent="0.25">
      <c r="A5" s="22">
        <v>46023</v>
      </c>
      <c r="B5" s="8" t="s">
        <v>105</v>
      </c>
      <c r="C5" s="8" t="s">
        <v>60</v>
      </c>
      <c r="D5" s="8" t="s">
        <v>58</v>
      </c>
      <c r="E5" s="8" t="s">
        <v>59</v>
      </c>
      <c r="F5" s="23">
        <v>4200</v>
      </c>
      <c r="G5" s="8" t="s">
        <v>78</v>
      </c>
      <c r="H5" s="8" t="s">
        <v>71</v>
      </c>
      <c r="I5" s="8" t="s">
        <v>72</v>
      </c>
      <c r="J5" s="8" t="s">
        <v>73</v>
      </c>
      <c r="K5" s="8" t="s">
        <v>106</v>
      </c>
      <c r="L5" s="15">
        <f>DATE(YEAR(tblTransactions[[#This Row],[Date]]),MONTH(tblTransactions[[#This Row],[Date]]),1)</f>
        <v>46023</v>
      </c>
    </row>
    <row r="6" spans="1:12" x14ac:dyDescent="0.25">
      <c r="A6" s="22">
        <v>46023</v>
      </c>
      <c r="B6" s="8" t="s">
        <v>107</v>
      </c>
      <c r="C6" s="8" t="s">
        <v>60</v>
      </c>
      <c r="D6" s="8" t="s">
        <v>58</v>
      </c>
      <c r="E6" s="8" t="s">
        <v>61</v>
      </c>
      <c r="F6" s="23">
        <v>3600</v>
      </c>
      <c r="G6" s="8" t="s">
        <v>78</v>
      </c>
      <c r="H6" s="8" t="s">
        <v>71</v>
      </c>
      <c r="I6" s="8" t="s">
        <v>76</v>
      </c>
      <c r="J6" s="8" t="s">
        <v>73</v>
      </c>
      <c r="K6" s="8" t="s">
        <v>106</v>
      </c>
      <c r="L6" s="15">
        <f>DATE(YEAR(tblTransactions[[#This Row],[Date]]),MONTH(tblTransactions[[#This Row],[Date]]),1)</f>
        <v>46023</v>
      </c>
    </row>
    <row r="7" spans="1:12" x14ac:dyDescent="0.25">
      <c r="A7" s="22">
        <v>46024</v>
      </c>
      <c r="B7" s="8" t="s">
        <v>108</v>
      </c>
      <c r="C7" s="8" t="s">
        <v>8</v>
      </c>
      <c r="D7" s="8" t="s">
        <v>6</v>
      </c>
      <c r="E7" s="8" t="s">
        <v>7</v>
      </c>
      <c r="F7" s="23">
        <v>1850</v>
      </c>
      <c r="G7" s="8" t="s">
        <v>80</v>
      </c>
      <c r="H7" s="8" t="s">
        <v>71</v>
      </c>
      <c r="I7" s="8" t="s">
        <v>72</v>
      </c>
      <c r="J7" s="8" t="s">
        <v>73</v>
      </c>
      <c r="K7" s="8" t="s">
        <v>106</v>
      </c>
      <c r="L7" s="15">
        <f>DATE(YEAR(tblTransactions[[#This Row],[Date]]),MONTH(tblTransactions[[#This Row],[Date]]),1)</f>
        <v>46023</v>
      </c>
    </row>
    <row r="8" spans="1:12" x14ac:dyDescent="0.25">
      <c r="A8" s="22">
        <v>46029</v>
      </c>
      <c r="B8" s="8" t="s">
        <v>18</v>
      </c>
      <c r="C8" s="8" t="s">
        <v>8</v>
      </c>
      <c r="D8" s="8" t="s">
        <v>18</v>
      </c>
      <c r="E8" s="8" t="s">
        <v>19</v>
      </c>
      <c r="F8" s="23">
        <v>540</v>
      </c>
      <c r="G8" s="8" t="s">
        <v>70</v>
      </c>
      <c r="H8" s="8" t="s">
        <v>83</v>
      </c>
      <c r="I8" s="8" t="s">
        <v>76</v>
      </c>
      <c r="J8" s="8" t="s">
        <v>77</v>
      </c>
      <c r="K8" s="8" t="s">
        <v>106</v>
      </c>
      <c r="L8" s="15">
        <f>DATE(YEAR(tblTransactions[[#This Row],[Date]]),MONTH(tblTransactions[[#This Row],[Date]]),1)</f>
        <v>46023</v>
      </c>
    </row>
    <row r="9" spans="1:12" x14ac:dyDescent="0.25">
      <c r="A9" s="22">
        <v>46054</v>
      </c>
      <c r="B9" s="8" t="s">
        <v>109</v>
      </c>
      <c r="C9" s="8" t="s">
        <v>60</v>
      </c>
      <c r="D9" s="8" t="s">
        <v>58</v>
      </c>
      <c r="E9" s="8" t="s">
        <v>59</v>
      </c>
      <c r="F9" s="23">
        <v>4200</v>
      </c>
      <c r="G9" s="8" t="s">
        <v>78</v>
      </c>
      <c r="H9" s="8" t="s">
        <v>71</v>
      </c>
      <c r="I9" s="8" t="s">
        <v>72</v>
      </c>
      <c r="J9" s="8" t="s">
        <v>73</v>
      </c>
      <c r="K9" s="8" t="s">
        <v>106</v>
      </c>
      <c r="L9" s="15">
        <f>DATE(YEAR(tblTransactions[[#This Row],[Date]]),MONTH(tblTransactions[[#This Row],[Date]]),1)</f>
        <v>46054</v>
      </c>
    </row>
    <row r="10" spans="1:12" x14ac:dyDescent="0.25">
      <c r="A10" s="22">
        <v>46054</v>
      </c>
      <c r="B10" s="8" t="s">
        <v>107</v>
      </c>
      <c r="C10" s="8" t="s">
        <v>60</v>
      </c>
      <c r="D10" s="8" t="s">
        <v>58</v>
      </c>
      <c r="E10" s="8" t="s">
        <v>61</v>
      </c>
      <c r="F10" s="23">
        <v>3600</v>
      </c>
      <c r="G10" s="8" t="s">
        <v>78</v>
      </c>
      <c r="H10" s="8" t="s">
        <v>71</v>
      </c>
      <c r="I10" s="8" t="s">
        <v>76</v>
      </c>
      <c r="J10" s="8" t="s">
        <v>73</v>
      </c>
      <c r="K10" s="8" t="s">
        <v>106</v>
      </c>
      <c r="L10" s="15">
        <f>DATE(YEAR(tblTransactions[[#This Row],[Date]]),MONTH(tblTransactions[[#This Row],[Date]]),1)</f>
        <v>46054</v>
      </c>
    </row>
    <row r="11" spans="1:12" x14ac:dyDescent="0.25">
      <c r="A11" s="22">
        <v>46056</v>
      </c>
      <c r="B11" s="8" t="s">
        <v>108</v>
      </c>
      <c r="C11" s="8" t="s">
        <v>8</v>
      </c>
      <c r="D11" s="8" t="s">
        <v>6</v>
      </c>
      <c r="E11" s="8" t="s">
        <v>7</v>
      </c>
      <c r="F11" s="23">
        <v>1850</v>
      </c>
      <c r="G11" s="8" t="s">
        <v>80</v>
      </c>
      <c r="H11" s="8" t="s">
        <v>71</v>
      </c>
      <c r="I11" s="8" t="s">
        <v>72</v>
      </c>
      <c r="J11" s="8" t="s">
        <v>73</v>
      </c>
      <c r="K11" s="8" t="s">
        <v>106</v>
      </c>
      <c r="L11" s="15">
        <f>DATE(YEAR(tblTransactions[[#This Row],[Date]]),MONTH(tblTransactions[[#This Row],[Date]]),1)</f>
        <v>46054</v>
      </c>
    </row>
    <row r="12" spans="1:12" x14ac:dyDescent="0.25">
      <c r="A12" s="22">
        <v>46066</v>
      </c>
      <c r="B12" s="8" t="s">
        <v>13</v>
      </c>
      <c r="C12" s="8" t="s">
        <v>8</v>
      </c>
      <c r="D12" s="8" t="s">
        <v>13</v>
      </c>
      <c r="E12" s="8" t="s">
        <v>14</v>
      </c>
      <c r="F12" s="23">
        <v>220</v>
      </c>
      <c r="G12" s="8" t="s">
        <v>80</v>
      </c>
      <c r="H12" s="8" t="s">
        <v>71</v>
      </c>
      <c r="I12" s="8" t="s">
        <v>76</v>
      </c>
      <c r="J12" s="8" t="s">
        <v>73</v>
      </c>
      <c r="K12" s="8" t="s">
        <v>106</v>
      </c>
      <c r="L12" s="15">
        <f>DATE(YEAR(tblTransactions[[#This Row],[Date]]),MONTH(tblTransactions[[#This Row],[Date]]),1)</f>
        <v>46054</v>
      </c>
    </row>
    <row r="13" spans="1:12" x14ac:dyDescent="0.25">
      <c r="A13" s="22">
        <v>46082</v>
      </c>
      <c r="B13" s="8" t="s">
        <v>110</v>
      </c>
      <c r="C13" s="8" t="s">
        <v>60</v>
      </c>
      <c r="D13" s="8" t="s">
        <v>58</v>
      </c>
      <c r="E13" s="8" t="s">
        <v>59</v>
      </c>
      <c r="F13" s="23">
        <v>4200</v>
      </c>
      <c r="G13" s="8" t="s">
        <v>78</v>
      </c>
      <c r="H13" s="8" t="s">
        <v>71</v>
      </c>
      <c r="I13" s="8" t="s">
        <v>72</v>
      </c>
      <c r="J13" s="8" t="s">
        <v>73</v>
      </c>
      <c r="K13" s="8" t="s">
        <v>106</v>
      </c>
      <c r="L13" s="15">
        <f>DATE(YEAR(tblTransactions[[#This Row],[Date]]),MONTH(tblTransactions[[#This Row],[Date]]),1)</f>
        <v>46082</v>
      </c>
    </row>
    <row r="14" spans="1:12" x14ac:dyDescent="0.25">
      <c r="A14" s="22">
        <v>46082</v>
      </c>
      <c r="B14" s="8" t="s">
        <v>107</v>
      </c>
      <c r="C14" s="8" t="s">
        <v>60</v>
      </c>
      <c r="D14" s="8" t="s">
        <v>58</v>
      </c>
      <c r="E14" s="8" t="s">
        <v>61</v>
      </c>
      <c r="F14" s="23">
        <v>3600</v>
      </c>
      <c r="G14" s="8" t="s">
        <v>78</v>
      </c>
      <c r="H14" s="8" t="s">
        <v>71</v>
      </c>
      <c r="I14" s="8" t="s">
        <v>76</v>
      </c>
      <c r="J14" s="8" t="s">
        <v>73</v>
      </c>
      <c r="K14" s="8" t="s">
        <v>106</v>
      </c>
      <c r="L14" s="15">
        <f>DATE(YEAR(tblTransactions[[#This Row],[Date]]),MONTH(tblTransactions[[#This Row],[Date]]),1)</f>
        <v>46082</v>
      </c>
    </row>
    <row r="15" spans="1:12" x14ac:dyDescent="0.25">
      <c r="A15" s="22">
        <v>46084</v>
      </c>
      <c r="B15" s="8" t="s">
        <v>108</v>
      </c>
      <c r="C15" s="8" t="s">
        <v>8</v>
      </c>
      <c r="D15" s="8" t="s">
        <v>6</v>
      </c>
      <c r="E15" s="8" t="s">
        <v>7</v>
      </c>
      <c r="F15" s="23">
        <v>1850</v>
      </c>
      <c r="G15" s="8" t="s">
        <v>80</v>
      </c>
      <c r="H15" s="8" t="s">
        <v>71</v>
      </c>
      <c r="I15" s="8" t="s">
        <v>72</v>
      </c>
      <c r="J15" s="8" t="s">
        <v>73</v>
      </c>
      <c r="K15" s="8" t="s">
        <v>106</v>
      </c>
      <c r="L15" s="15">
        <f>DATE(YEAR(tblTransactions[[#This Row],[Date]]),MONTH(tblTransactions[[#This Row],[Date]]),1)</f>
        <v>46082</v>
      </c>
    </row>
    <row r="16" spans="1:12" x14ac:dyDescent="0.25">
      <c r="A16" s="22">
        <v>46096</v>
      </c>
      <c r="B16" s="8" t="s">
        <v>111</v>
      </c>
      <c r="C16" s="8" t="s">
        <v>8</v>
      </c>
      <c r="D16" s="8" t="s">
        <v>42</v>
      </c>
      <c r="E16" s="8" t="s">
        <v>43</v>
      </c>
      <c r="F16" s="23">
        <v>950</v>
      </c>
      <c r="G16" s="8" t="s">
        <v>70</v>
      </c>
      <c r="H16" s="8" t="s">
        <v>83</v>
      </c>
      <c r="I16" s="8" t="s">
        <v>76</v>
      </c>
      <c r="J16" s="8" t="s">
        <v>77</v>
      </c>
      <c r="K16" s="8" t="s">
        <v>106</v>
      </c>
      <c r="L16" s="15">
        <f>DATE(YEAR(tblTransactions[[#This Row],[Date]]),MONTH(tblTransactions[[#This Row],[Date]]),1)</f>
        <v>46082</v>
      </c>
    </row>
    <row r="17" spans="1:12" x14ac:dyDescent="0.25">
      <c r="A17" s="22">
        <v>46113</v>
      </c>
      <c r="B17" s="8" t="s">
        <v>112</v>
      </c>
      <c r="C17" s="8" t="s">
        <v>60</v>
      </c>
      <c r="D17" s="8" t="s">
        <v>58</v>
      </c>
      <c r="E17" s="8" t="s">
        <v>59</v>
      </c>
      <c r="F17" s="23">
        <v>4200</v>
      </c>
      <c r="G17" s="8" t="s">
        <v>78</v>
      </c>
      <c r="H17" s="8" t="s">
        <v>71</v>
      </c>
      <c r="I17" s="8" t="s">
        <v>72</v>
      </c>
      <c r="J17" s="8" t="s">
        <v>73</v>
      </c>
      <c r="K17" s="8" t="s">
        <v>106</v>
      </c>
      <c r="L17" s="15">
        <f>DATE(YEAR(tblTransactions[[#This Row],[Date]]),MONTH(tblTransactions[[#This Row],[Date]]),1)</f>
        <v>46113</v>
      </c>
    </row>
    <row r="18" spans="1:12" x14ac:dyDescent="0.25">
      <c r="A18" s="22">
        <v>46113</v>
      </c>
      <c r="B18" s="8" t="s">
        <v>107</v>
      </c>
      <c r="C18" s="8" t="s">
        <v>60</v>
      </c>
      <c r="D18" s="8" t="s">
        <v>58</v>
      </c>
      <c r="E18" s="8" t="s">
        <v>61</v>
      </c>
      <c r="F18" s="23">
        <v>3600</v>
      </c>
      <c r="G18" s="8" t="s">
        <v>78</v>
      </c>
      <c r="H18" s="8" t="s">
        <v>71</v>
      </c>
      <c r="I18" s="8" t="s">
        <v>76</v>
      </c>
      <c r="J18" s="8" t="s">
        <v>73</v>
      </c>
      <c r="K18" s="8" t="s">
        <v>106</v>
      </c>
      <c r="L18" s="15">
        <f>DATE(YEAR(tblTransactions[[#This Row],[Date]]),MONTH(tblTransactions[[#This Row],[Date]]),1)</f>
        <v>46113</v>
      </c>
    </row>
    <row r="19" spans="1:12" x14ac:dyDescent="0.25">
      <c r="A19" s="22">
        <v>46115</v>
      </c>
      <c r="B19" s="8" t="s">
        <v>108</v>
      </c>
      <c r="C19" s="8" t="s">
        <v>8</v>
      </c>
      <c r="D19" s="8" t="s">
        <v>6</v>
      </c>
      <c r="E19" s="8" t="s">
        <v>7</v>
      </c>
      <c r="F19" s="23">
        <v>1850</v>
      </c>
      <c r="G19" s="8" t="s">
        <v>80</v>
      </c>
      <c r="H19" s="8" t="s">
        <v>71</v>
      </c>
      <c r="I19" s="8" t="s">
        <v>72</v>
      </c>
      <c r="J19" s="8" t="s">
        <v>73</v>
      </c>
      <c r="K19" s="8" t="s">
        <v>106</v>
      </c>
      <c r="L19" s="15">
        <f>DATE(YEAR(tblTransactions[[#This Row],[Date]]),MONTH(tblTransactions[[#This Row],[Date]]),1)</f>
        <v>46113</v>
      </c>
    </row>
    <row r="20" spans="1:12" x14ac:dyDescent="0.25">
      <c r="A20" s="22">
        <v>46126</v>
      </c>
      <c r="B20" s="8" t="s">
        <v>18</v>
      </c>
      <c r="C20" s="8" t="s">
        <v>8</v>
      </c>
      <c r="D20" s="8" t="s">
        <v>18</v>
      </c>
      <c r="E20" s="8" t="s">
        <v>19</v>
      </c>
      <c r="F20" s="23">
        <v>610</v>
      </c>
      <c r="G20" s="8" t="s">
        <v>70</v>
      </c>
      <c r="H20" s="8" t="s">
        <v>83</v>
      </c>
      <c r="I20" s="8" t="s">
        <v>72</v>
      </c>
      <c r="J20" s="8" t="s">
        <v>77</v>
      </c>
      <c r="K20" s="8" t="s">
        <v>106</v>
      </c>
      <c r="L20" s="15">
        <f>DATE(YEAR(tblTransactions[[#This Row],[Date]]),MONTH(tblTransactions[[#This Row],[Date]]),1)</f>
        <v>46113</v>
      </c>
    </row>
    <row r="21" spans="1:12" x14ac:dyDescent="0.25">
      <c r="A21" s="22">
        <v>46143</v>
      </c>
      <c r="B21" s="8" t="s">
        <v>113</v>
      </c>
      <c r="C21" s="8" t="s">
        <v>60</v>
      </c>
      <c r="D21" s="8" t="s">
        <v>58</v>
      </c>
      <c r="E21" s="8" t="s">
        <v>59</v>
      </c>
      <c r="F21" s="23">
        <v>4200</v>
      </c>
      <c r="G21" s="8" t="s">
        <v>78</v>
      </c>
      <c r="H21" s="8" t="s">
        <v>71</v>
      </c>
      <c r="I21" s="8" t="s">
        <v>72</v>
      </c>
      <c r="J21" s="8" t="s">
        <v>73</v>
      </c>
      <c r="K21" s="8" t="s">
        <v>106</v>
      </c>
      <c r="L21" s="15">
        <f>DATE(YEAR(tblTransactions[[#This Row],[Date]]),MONTH(tblTransactions[[#This Row],[Date]]),1)</f>
        <v>46143</v>
      </c>
    </row>
    <row r="22" spans="1:12" x14ac:dyDescent="0.25">
      <c r="A22" s="22">
        <v>46143</v>
      </c>
      <c r="B22" s="8" t="s">
        <v>107</v>
      </c>
      <c r="C22" s="8" t="s">
        <v>60</v>
      </c>
      <c r="D22" s="8" t="s">
        <v>58</v>
      </c>
      <c r="E22" s="8" t="s">
        <v>61</v>
      </c>
      <c r="F22" s="23">
        <v>3600</v>
      </c>
      <c r="G22" s="8" t="s">
        <v>78</v>
      </c>
      <c r="H22" s="8" t="s">
        <v>71</v>
      </c>
      <c r="I22" s="8" t="s">
        <v>76</v>
      </c>
      <c r="J22" s="8" t="s">
        <v>73</v>
      </c>
      <c r="K22" s="8" t="s">
        <v>106</v>
      </c>
      <c r="L22" s="15">
        <f>DATE(YEAR(tblTransactions[[#This Row],[Date]]),MONTH(tblTransactions[[#This Row],[Date]]),1)</f>
        <v>46143</v>
      </c>
    </row>
    <row r="23" spans="1:12" x14ac:dyDescent="0.25">
      <c r="A23" s="22">
        <v>46145</v>
      </c>
      <c r="B23" s="8" t="s">
        <v>108</v>
      </c>
      <c r="C23" s="8" t="s">
        <v>8</v>
      </c>
      <c r="D23" s="8" t="s">
        <v>6</v>
      </c>
      <c r="E23" s="8" t="s">
        <v>7</v>
      </c>
      <c r="F23" s="23">
        <v>1850</v>
      </c>
      <c r="G23" s="8" t="s">
        <v>80</v>
      </c>
      <c r="H23" s="8" t="s">
        <v>71</v>
      </c>
      <c r="I23" s="8" t="s">
        <v>72</v>
      </c>
      <c r="J23" s="8" t="s">
        <v>73</v>
      </c>
      <c r="K23" s="8" t="s">
        <v>106</v>
      </c>
      <c r="L23" s="15">
        <f>DATE(YEAR(tblTransactions[[#This Row],[Date]]),MONTH(tblTransactions[[#This Row],[Date]]),1)</f>
        <v>46143</v>
      </c>
    </row>
    <row r="24" spans="1:12" x14ac:dyDescent="0.25">
      <c r="A24" s="22">
        <v>46159</v>
      </c>
      <c r="B24" s="8" t="s">
        <v>114</v>
      </c>
      <c r="C24" s="8" t="s">
        <v>8</v>
      </c>
      <c r="D24" s="8" t="s">
        <v>27</v>
      </c>
      <c r="E24" s="8" t="s">
        <v>28</v>
      </c>
      <c r="F24" s="23">
        <v>780</v>
      </c>
      <c r="G24" s="8" t="s">
        <v>70</v>
      </c>
      <c r="H24" s="8" t="s">
        <v>83</v>
      </c>
      <c r="I24" s="8" t="s">
        <v>76</v>
      </c>
      <c r="J24" s="8" t="s">
        <v>77</v>
      </c>
      <c r="K24" s="8" t="s">
        <v>106</v>
      </c>
      <c r="L24" s="15">
        <f>DATE(YEAR(tblTransactions[[#This Row],[Date]]),MONTH(tblTransactions[[#This Row],[Date]]),1)</f>
        <v>46143</v>
      </c>
    </row>
    <row r="25" spans="1:12" x14ac:dyDescent="0.25">
      <c r="A25" s="22">
        <v>46174</v>
      </c>
      <c r="B25" s="8" t="s">
        <v>115</v>
      </c>
      <c r="C25" s="8" t="s">
        <v>60</v>
      </c>
      <c r="D25" s="8" t="s">
        <v>58</v>
      </c>
      <c r="E25" s="8" t="s">
        <v>59</v>
      </c>
      <c r="F25" s="23">
        <v>4200</v>
      </c>
      <c r="G25" s="8" t="s">
        <v>78</v>
      </c>
      <c r="H25" s="8" t="s">
        <v>71</v>
      </c>
      <c r="I25" s="8" t="s">
        <v>72</v>
      </c>
      <c r="J25" s="8" t="s">
        <v>73</v>
      </c>
      <c r="K25" s="8" t="s">
        <v>106</v>
      </c>
      <c r="L25" s="15">
        <f>DATE(YEAR(tblTransactions[[#This Row],[Date]]),MONTH(tblTransactions[[#This Row],[Date]]),1)</f>
        <v>46174</v>
      </c>
    </row>
    <row r="26" spans="1:12" x14ac:dyDescent="0.25">
      <c r="A26" s="22">
        <v>46174</v>
      </c>
      <c r="B26" s="8" t="s">
        <v>107</v>
      </c>
      <c r="C26" s="8" t="s">
        <v>60</v>
      </c>
      <c r="D26" s="8" t="s">
        <v>58</v>
      </c>
      <c r="E26" s="8" t="s">
        <v>61</v>
      </c>
      <c r="F26" s="23">
        <v>3600</v>
      </c>
      <c r="G26" s="8" t="s">
        <v>78</v>
      </c>
      <c r="H26" s="8" t="s">
        <v>71</v>
      </c>
      <c r="I26" s="8" t="s">
        <v>76</v>
      </c>
      <c r="J26" s="8" t="s">
        <v>73</v>
      </c>
      <c r="K26" s="8" t="s">
        <v>106</v>
      </c>
      <c r="L26" s="15">
        <f>DATE(YEAR(tblTransactions[[#This Row],[Date]]),MONTH(tblTransactions[[#This Row],[Date]]),1)</f>
        <v>46174</v>
      </c>
    </row>
    <row r="27" spans="1:12" x14ac:dyDescent="0.25">
      <c r="A27" s="22">
        <v>46176</v>
      </c>
      <c r="B27" s="8" t="s">
        <v>108</v>
      </c>
      <c r="C27" s="8" t="s">
        <v>8</v>
      </c>
      <c r="D27" s="8" t="s">
        <v>6</v>
      </c>
      <c r="E27" s="8" t="s">
        <v>7</v>
      </c>
      <c r="F27" s="23">
        <v>1850</v>
      </c>
      <c r="G27" s="8" t="s">
        <v>80</v>
      </c>
      <c r="H27" s="8" t="s">
        <v>71</v>
      </c>
      <c r="I27" s="8" t="s">
        <v>72</v>
      </c>
      <c r="J27" s="8" t="s">
        <v>73</v>
      </c>
      <c r="K27" s="8" t="s">
        <v>106</v>
      </c>
      <c r="L27" s="15">
        <f>DATE(YEAR(tblTransactions[[#This Row],[Date]]),MONTH(tblTransactions[[#This Row],[Date]]),1)</f>
        <v>46174</v>
      </c>
    </row>
    <row r="28" spans="1:12" x14ac:dyDescent="0.25">
      <c r="A28" s="22">
        <v>46191</v>
      </c>
      <c r="B28" s="8" t="s">
        <v>116</v>
      </c>
      <c r="C28" s="8" t="s">
        <v>8</v>
      </c>
      <c r="D28" s="8" t="s">
        <v>21</v>
      </c>
      <c r="E28" s="8" t="s">
        <v>22</v>
      </c>
      <c r="F28" s="23">
        <v>430</v>
      </c>
      <c r="G28" s="8" t="s">
        <v>70</v>
      </c>
      <c r="H28" s="8" t="s">
        <v>83</v>
      </c>
      <c r="I28" s="8" t="s">
        <v>72</v>
      </c>
      <c r="J28" s="8" t="s">
        <v>77</v>
      </c>
      <c r="K28" s="8" t="s">
        <v>106</v>
      </c>
      <c r="L28" s="15">
        <f>DATE(YEAR(tblTransactions[[#This Row],[Date]]),MONTH(tblTransactions[[#This Row],[Date]]),1)</f>
        <v>46174</v>
      </c>
    </row>
    <row r="29" spans="1:12" x14ac:dyDescent="0.25">
      <c r="A29" s="22">
        <v>46204</v>
      </c>
      <c r="B29" s="8" t="s">
        <v>117</v>
      </c>
      <c r="C29" s="8" t="s">
        <v>60</v>
      </c>
      <c r="D29" s="8" t="s">
        <v>58</v>
      </c>
      <c r="E29" s="8" t="s">
        <v>59</v>
      </c>
      <c r="F29" s="23">
        <v>4200</v>
      </c>
      <c r="G29" s="8" t="s">
        <v>78</v>
      </c>
      <c r="H29" s="8" t="s">
        <v>71</v>
      </c>
      <c r="I29" s="8" t="s">
        <v>72</v>
      </c>
      <c r="J29" s="8" t="s">
        <v>73</v>
      </c>
      <c r="K29" s="8" t="s">
        <v>106</v>
      </c>
      <c r="L29" s="15">
        <f>DATE(YEAR(tblTransactions[[#This Row],[Date]]),MONTH(tblTransactions[[#This Row],[Date]]),1)</f>
        <v>46204</v>
      </c>
    </row>
    <row r="30" spans="1:12" x14ac:dyDescent="0.25">
      <c r="A30" s="22">
        <v>46204</v>
      </c>
      <c r="B30" s="8" t="s">
        <v>107</v>
      </c>
      <c r="C30" s="8" t="s">
        <v>60</v>
      </c>
      <c r="D30" s="8" t="s">
        <v>58</v>
      </c>
      <c r="E30" s="8" t="s">
        <v>61</v>
      </c>
      <c r="F30" s="23">
        <v>3600</v>
      </c>
      <c r="G30" s="8" t="s">
        <v>78</v>
      </c>
      <c r="H30" s="8" t="s">
        <v>71</v>
      </c>
      <c r="I30" s="8" t="s">
        <v>76</v>
      </c>
      <c r="J30" s="8" t="s">
        <v>73</v>
      </c>
      <c r="K30" s="8" t="s">
        <v>106</v>
      </c>
      <c r="L30" s="15">
        <f>DATE(YEAR(tblTransactions[[#This Row],[Date]]),MONTH(tblTransactions[[#This Row],[Date]]),1)</f>
        <v>46204</v>
      </c>
    </row>
    <row r="31" spans="1:12" x14ac:dyDescent="0.25">
      <c r="A31" s="22">
        <v>46206</v>
      </c>
      <c r="B31" s="8" t="s">
        <v>108</v>
      </c>
      <c r="C31" s="8" t="s">
        <v>8</v>
      </c>
      <c r="D31" s="8" t="s">
        <v>6</v>
      </c>
      <c r="E31" s="8" t="s">
        <v>7</v>
      </c>
      <c r="F31" s="23">
        <v>1850</v>
      </c>
      <c r="G31" s="8" t="s">
        <v>80</v>
      </c>
      <c r="H31" s="8" t="s">
        <v>71</v>
      </c>
      <c r="I31" s="8" t="s">
        <v>72</v>
      </c>
      <c r="J31" s="8" t="s">
        <v>73</v>
      </c>
      <c r="K31" s="8" t="s">
        <v>106</v>
      </c>
      <c r="L31" s="15">
        <f>DATE(YEAR(tblTransactions[[#This Row],[Date]]),MONTH(tblTransactions[[#This Row],[Date]]),1)</f>
        <v>46204</v>
      </c>
    </row>
    <row r="32" spans="1:12" x14ac:dyDescent="0.25">
      <c r="A32" s="22">
        <v>46225</v>
      </c>
      <c r="B32" s="8" t="s">
        <v>118</v>
      </c>
      <c r="C32" s="8" t="s">
        <v>8</v>
      </c>
      <c r="D32" s="8" t="s">
        <v>53</v>
      </c>
      <c r="E32" s="8" t="s">
        <v>54</v>
      </c>
      <c r="F32" s="23">
        <v>1250</v>
      </c>
      <c r="G32" s="8" t="s">
        <v>70</v>
      </c>
      <c r="H32" s="8" t="s">
        <v>83</v>
      </c>
      <c r="I32" s="8" t="s">
        <v>76</v>
      </c>
      <c r="J32" s="8" t="s">
        <v>77</v>
      </c>
      <c r="K32" s="8" t="s">
        <v>106</v>
      </c>
      <c r="L32" s="15">
        <f>DATE(YEAR(tblTransactions[[#This Row],[Date]]),MONTH(tblTransactions[[#This Row],[Date]]),1)</f>
        <v>46204</v>
      </c>
    </row>
    <row r="33" spans="1:12" x14ac:dyDescent="0.25">
      <c r="A33" s="22">
        <v>46235</v>
      </c>
      <c r="B33" s="8" t="s">
        <v>119</v>
      </c>
      <c r="C33" s="8" t="s">
        <v>60</v>
      </c>
      <c r="D33" s="8" t="s">
        <v>58</v>
      </c>
      <c r="E33" s="8" t="s">
        <v>59</v>
      </c>
      <c r="F33" s="23">
        <v>4200</v>
      </c>
      <c r="G33" s="8" t="s">
        <v>78</v>
      </c>
      <c r="H33" s="8" t="s">
        <v>71</v>
      </c>
      <c r="I33" s="8" t="s">
        <v>72</v>
      </c>
      <c r="J33" s="8" t="s">
        <v>73</v>
      </c>
      <c r="K33" s="8" t="s">
        <v>106</v>
      </c>
      <c r="L33" s="15">
        <f>DATE(YEAR(tblTransactions[[#This Row],[Date]]),MONTH(tblTransactions[[#This Row],[Date]]),1)</f>
        <v>46235</v>
      </c>
    </row>
    <row r="34" spans="1:12" x14ac:dyDescent="0.25">
      <c r="A34" s="22">
        <v>46235</v>
      </c>
      <c r="B34" s="8" t="s">
        <v>107</v>
      </c>
      <c r="C34" s="8" t="s">
        <v>60</v>
      </c>
      <c r="D34" s="8" t="s">
        <v>58</v>
      </c>
      <c r="E34" s="8" t="s">
        <v>61</v>
      </c>
      <c r="F34" s="23">
        <v>3600</v>
      </c>
      <c r="G34" s="8" t="s">
        <v>78</v>
      </c>
      <c r="H34" s="8" t="s">
        <v>71</v>
      </c>
      <c r="I34" s="8" t="s">
        <v>76</v>
      </c>
      <c r="J34" s="8" t="s">
        <v>73</v>
      </c>
      <c r="K34" s="8" t="s">
        <v>106</v>
      </c>
      <c r="L34" s="15">
        <f>DATE(YEAR(tblTransactions[[#This Row],[Date]]),MONTH(tblTransactions[[#This Row],[Date]]),1)</f>
        <v>46235</v>
      </c>
    </row>
    <row r="35" spans="1:12" x14ac:dyDescent="0.25">
      <c r="A35" s="22">
        <v>46237</v>
      </c>
      <c r="B35" s="8" t="s">
        <v>108</v>
      </c>
      <c r="C35" s="8" t="s">
        <v>8</v>
      </c>
      <c r="D35" s="8" t="s">
        <v>6</v>
      </c>
      <c r="E35" s="8" t="s">
        <v>7</v>
      </c>
      <c r="F35" s="23">
        <v>1850</v>
      </c>
      <c r="G35" s="8" t="s">
        <v>80</v>
      </c>
      <c r="H35" s="8" t="s">
        <v>71</v>
      </c>
      <c r="I35" s="8" t="s">
        <v>72</v>
      </c>
      <c r="J35" s="8" t="s">
        <v>73</v>
      </c>
      <c r="K35" s="8" t="s">
        <v>106</v>
      </c>
      <c r="L35" s="15">
        <f>DATE(YEAR(tblTransactions[[#This Row],[Date]]),MONTH(tblTransactions[[#This Row],[Date]]),1)</f>
        <v>46235</v>
      </c>
    </row>
    <row r="36" spans="1:12" x14ac:dyDescent="0.25">
      <c r="A36" s="22">
        <v>46249</v>
      </c>
      <c r="B36" s="8" t="s">
        <v>18</v>
      </c>
      <c r="C36" s="8" t="s">
        <v>8</v>
      </c>
      <c r="D36" s="8" t="s">
        <v>18</v>
      </c>
      <c r="E36" s="8" t="s">
        <v>19</v>
      </c>
      <c r="F36" s="23">
        <v>690</v>
      </c>
      <c r="G36" s="8" t="s">
        <v>70</v>
      </c>
      <c r="H36" s="8" t="s">
        <v>83</v>
      </c>
      <c r="I36" s="8" t="s">
        <v>76</v>
      </c>
      <c r="J36" s="8" t="s">
        <v>77</v>
      </c>
      <c r="K36" s="8" t="s">
        <v>106</v>
      </c>
      <c r="L36" s="15">
        <f>DATE(YEAR(tblTransactions[[#This Row],[Date]]),MONTH(tblTransactions[[#This Row],[Date]]),1)</f>
        <v>46235</v>
      </c>
    </row>
    <row r="37" spans="1:12" x14ac:dyDescent="0.25">
      <c r="A37" s="22">
        <v>46266</v>
      </c>
      <c r="B37" s="8" t="s">
        <v>120</v>
      </c>
      <c r="C37" s="8" t="s">
        <v>60</v>
      </c>
      <c r="D37" s="8" t="s">
        <v>58</v>
      </c>
      <c r="E37" s="8" t="s">
        <v>59</v>
      </c>
      <c r="F37" s="23">
        <v>4200</v>
      </c>
      <c r="G37" s="8" t="s">
        <v>78</v>
      </c>
      <c r="H37" s="8" t="s">
        <v>71</v>
      </c>
      <c r="I37" s="8" t="s">
        <v>72</v>
      </c>
      <c r="J37" s="8" t="s">
        <v>73</v>
      </c>
      <c r="K37" s="8" t="s">
        <v>106</v>
      </c>
      <c r="L37" s="15">
        <f>DATE(YEAR(tblTransactions[[#This Row],[Date]]),MONTH(tblTransactions[[#This Row],[Date]]),1)</f>
        <v>46266</v>
      </c>
    </row>
    <row r="38" spans="1:12" x14ac:dyDescent="0.25">
      <c r="A38" s="22">
        <v>46266</v>
      </c>
      <c r="B38" s="8" t="s">
        <v>107</v>
      </c>
      <c r="C38" s="8" t="s">
        <v>60</v>
      </c>
      <c r="D38" s="8" t="s">
        <v>58</v>
      </c>
      <c r="E38" s="8" t="s">
        <v>61</v>
      </c>
      <c r="F38" s="23">
        <v>3600</v>
      </c>
      <c r="G38" s="8" t="s">
        <v>78</v>
      </c>
      <c r="H38" s="8" t="s">
        <v>71</v>
      </c>
      <c r="I38" s="8" t="s">
        <v>76</v>
      </c>
      <c r="J38" s="8" t="s">
        <v>73</v>
      </c>
      <c r="K38" s="8" t="s">
        <v>106</v>
      </c>
      <c r="L38" s="15">
        <f>DATE(YEAR(tblTransactions[[#This Row],[Date]]),MONTH(tblTransactions[[#This Row],[Date]]),1)</f>
        <v>46266</v>
      </c>
    </row>
    <row r="39" spans="1:12" x14ac:dyDescent="0.25">
      <c r="A39" s="22">
        <v>46268</v>
      </c>
      <c r="B39" s="8" t="s">
        <v>108</v>
      </c>
      <c r="C39" s="8" t="s">
        <v>8</v>
      </c>
      <c r="D39" s="8" t="s">
        <v>6</v>
      </c>
      <c r="E39" s="8" t="s">
        <v>7</v>
      </c>
      <c r="F39" s="23">
        <v>1850</v>
      </c>
      <c r="G39" s="8" t="s">
        <v>80</v>
      </c>
      <c r="H39" s="8" t="s">
        <v>71</v>
      </c>
      <c r="I39" s="8" t="s">
        <v>72</v>
      </c>
      <c r="J39" s="8" t="s">
        <v>73</v>
      </c>
      <c r="K39" s="8" t="s">
        <v>106</v>
      </c>
      <c r="L39" s="15">
        <f>DATE(YEAR(tblTransactions[[#This Row],[Date]]),MONTH(tblTransactions[[#This Row],[Date]]),1)</f>
        <v>46266</v>
      </c>
    </row>
    <row r="40" spans="1:12" x14ac:dyDescent="0.25">
      <c r="A40" s="22">
        <v>46273</v>
      </c>
      <c r="B40" s="8" t="s">
        <v>14</v>
      </c>
      <c r="C40" s="8" t="s">
        <v>8</v>
      </c>
      <c r="D40" s="8" t="s">
        <v>13</v>
      </c>
      <c r="E40" s="8" t="s">
        <v>14</v>
      </c>
      <c r="F40" s="23">
        <v>245</v>
      </c>
      <c r="G40" s="8" t="s">
        <v>80</v>
      </c>
      <c r="H40" s="8" t="s">
        <v>71</v>
      </c>
      <c r="I40" s="8" t="s">
        <v>76</v>
      </c>
      <c r="J40" s="8" t="s">
        <v>73</v>
      </c>
      <c r="K40" s="8" t="s">
        <v>106</v>
      </c>
      <c r="L40" s="15">
        <f>DATE(YEAR(tblTransactions[[#This Row],[Date]]),MONTH(tblTransactions[[#This Row],[Date]]),1)</f>
        <v>46266</v>
      </c>
    </row>
    <row r="41" spans="1:12" x14ac:dyDescent="0.25">
      <c r="A41" s="22">
        <v>46276</v>
      </c>
      <c r="B41" s="8" t="s">
        <v>18</v>
      </c>
      <c r="C41" s="8" t="s">
        <v>8</v>
      </c>
      <c r="D41" s="8" t="s">
        <v>18</v>
      </c>
      <c r="E41" s="8" t="s">
        <v>19</v>
      </c>
      <c r="F41" s="23">
        <v>735</v>
      </c>
      <c r="G41" s="8" t="s">
        <v>70</v>
      </c>
      <c r="H41" s="8" t="s">
        <v>83</v>
      </c>
      <c r="I41" s="8" t="s">
        <v>72</v>
      </c>
      <c r="J41" s="8" t="s">
        <v>77</v>
      </c>
      <c r="K41" s="8" t="s">
        <v>106</v>
      </c>
      <c r="L41" s="15">
        <f>DATE(YEAR(tblTransactions[[#This Row],[Date]]),MONTH(tblTransactions[[#This Row],[Date]]),1)</f>
        <v>46266</v>
      </c>
    </row>
    <row r="42" spans="1:12" x14ac:dyDescent="0.25">
      <c r="A42" s="22">
        <v>46279</v>
      </c>
      <c r="B42" s="8" t="s">
        <v>121</v>
      </c>
      <c r="C42" s="8" t="s">
        <v>8</v>
      </c>
      <c r="D42" s="8" t="s">
        <v>21</v>
      </c>
      <c r="E42" s="8" t="s">
        <v>22</v>
      </c>
      <c r="F42" s="23">
        <v>310</v>
      </c>
      <c r="G42" s="8" t="s">
        <v>70</v>
      </c>
      <c r="H42" s="8" t="s">
        <v>83</v>
      </c>
      <c r="I42" s="8" t="s">
        <v>76</v>
      </c>
      <c r="J42" s="8" t="s">
        <v>77</v>
      </c>
      <c r="K42" s="8" t="s">
        <v>106</v>
      </c>
      <c r="L42" s="15">
        <f>DATE(YEAR(tblTransactions[[#This Row],[Date]]),MONTH(tblTransactions[[#This Row],[Date]]),1)</f>
        <v>46266</v>
      </c>
    </row>
    <row r="43" spans="1:12" x14ac:dyDescent="0.25">
      <c r="A43" s="22">
        <v>46281</v>
      </c>
      <c r="B43" s="8" t="s">
        <v>26</v>
      </c>
      <c r="C43" s="8" t="s">
        <v>8</v>
      </c>
      <c r="D43" s="8" t="s">
        <v>24</v>
      </c>
      <c r="E43" s="8" t="s">
        <v>26</v>
      </c>
      <c r="F43" s="23">
        <v>180</v>
      </c>
      <c r="G43" s="8" t="s">
        <v>70</v>
      </c>
      <c r="H43" s="8" t="s">
        <v>83</v>
      </c>
      <c r="I43" s="8" t="s">
        <v>72</v>
      </c>
      <c r="J43" s="8" t="s">
        <v>77</v>
      </c>
      <c r="K43" s="8" t="s">
        <v>106</v>
      </c>
      <c r="L43" s="15">
        <f>DATE(YEAR(tblTransactions[[#This Row],[Date]]),MONTH(tblTransactions[[#This Row],[Date]]),1)</f>
        <v>46266</v>
      </c>
    </row>
    <row r="44" spans="1:12" x14ac:dyDescent="0.25">
      <c r="A44" s="22">
        <v>46283</v>
      </c>
      <c r="B44" s="8" t="s">
        <v>122</v>
      </c>
      <c r="C44" s="8" t="s">
        <v>8</v>
      </c>
      <c r="D44" s="8" t="s">
        <v>39</v>
      </c>
      <c r="E44" s="8" t="s">
        <v>40</v>
      </c>
      <c r="F44" s="23">
        <v>55</v>
      </c>
      <c r="G44" s="8" t="s">
        <v>70</v>
      </c>
      <c r="H44" s="8" t="s">
        <v>83</v>
      </c>
      <c r="I44" s="8" t="s">
        <v>76</v>
      </c>
      <c r="J44" s="8" t="s">
        <v>73</v>
      </c>
      <c r="K44" s="8" t="s">
        <v>106</v>
      </c>
      <c r="L44" s="15">
        <f>DATE(YEAR(tblTransactions[[#This Row],[Date]]),MONTH(tblTransactions[[#This Row],[Date]]),1)</f>
        <v>46266</v>
      </c>
    </row>
    <row r="45" spans="1:12" x14ac:dyDescent="0.25">
      <c r="A45" s="22">
        <v>46284</v>
      </c>
      <c r="B45" s="8" t="s">
        <v>32</v>
      </c>
      <c r="C45" s="8" t="s">
        <v>8</v>
      </c>
      <c r="D45" s="8" t="s">
        <v>30</v>
      </c>
      <c r="E45" s="8" t="s">
        <v>32</v>
      </c>
      <c r="F45" s="23">
        <v>90</v>
      </c>
      <c r="G45" s="8" t="s">
        <v>70</v>
      </c>
      <c r="H45" s="8" t="s">
        <v>83</v>
      </c>
      <c r="I45" s="8" t="s">
        <v>72</v>
      </c>
      <c r="J45" s="8" t="s">
        <v>77</v>
      </c>
      <c r="K45" s="8" t="s">
        <v>106</v>
      </c>
      <c r="L45" s="15">
        <f>DATE(YEAR(tblTransactions[[#This Row],[Date]]),MONTH(tblTransactions[[#This Row],[Date]]),1)</f>
        <v>46266</v>
      </c>
    </row>
  </sheetData>
  <mergeCells count="2">
    <mergeCell ref="A1:L1"/>
    <mergeCell ref="A2:L2"/>
  </mergeCells>
  <conditionalFormatting sqref="A5:L1000">
    <cfRule type="expression" dxfId="64" priority="1">
      <formula>$C5="Expense"</formula>
    </cfRule>
  </conditionalFormatting>
  <conditionalFormatting sqref="A5:L1000">
    <cfRule type="expression" dxfId="63" priority="2">
      <formula>$C5="Income"</formula>
    </cfRule>
  </conditionalFormatting>
  <pageMargins left="0.7" right="0.7" top="0.75" bottom="0.75" header="0.3" footer="0.3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 xr:uid="{0724F82D-D4CD-479D-860D-1C1234379A34}">
          <x14:formula1>
            <xm:f>Categories!$F$5:$F$6</xm:f>
          </x14:formula1>
          <xm:sqref>C5:C1000</xm:sqref>
        </x14:dataValidation>
        <x14:dataValidation type="list" allowBlank="1" showInputMessage="1" showErrorMessage="1" xr:uid="{05761FE5-61F6-444E-9D57-1FCF178ABF97}">
          <x14:formula1>
            <xm:f>Categories!$A$5:$A$41</xm:f>
          </x14:formula1>
          <xm:sqref>D5:D1000</xm:sqref>
        </x14:dataValidation>
        <x14:dataValidation type="list" allowBlank="1" showInputMessage="1" showErrorMessage="1" xr:uid="{E221898B-5613-4D7A-AD40-EACF1B76A5A8}">
          <x14:formula1>
            <xm:f>Categories!$B$5:$B$41</xm:f>
          </x14:formula1>
          <xm:sqref>E5:E1000</xm:sqref>
        </x14:dataValidation>
        <x14:dataValidation type="list" allowBlank="1" showInputMessage="1" showErrorMessage="1" xr:uid="{3A991362-4F30-4F01-B737-82D732CA1E4B}">
          <x14:formula1>
            <xm:f>Categories!$G$5:$G$9</xm:f>
          </x14:formula1>
          <xm:sqref>G5:G1000</xm:sqref>
        </x14:dataValidation>
        <x14:dataValidation type="list" allowBlank="1" showInputMessage="1" showErrorMessage="1" xr:uid="{7D5964F1-638C-40EA-B909-9BAFD107F4D3}">
          <x14:formula1>
            <xm:f>Categories!$H$5:$H$9</xm:f>
          </x14:formula1>
          <xm:sqref>H5:H1000</xm:sqref>
        </x14:dataValidation>
        <x14:dataValidation type="list" allowBlank="1" showInputMessage="1" showErrorMessage="1" xr:uid="{00940940-E244-4A58-9EB5-E6DD2A826ABB}">
          <x14:formula1>
            <xm:f>Categories!$I$5:$I$6</xm:f>
          </x14:formula1>
          <xm:sqref>I5:I1000</xm:sqref>
        </x14:dataValidation>
        <x14:dataValidation type="list" allowBlank="1" showInputMessage="1" showErrorMessage="1" xr:uid="{E0317671-12EB-4E16-87F6-964118F9AD66}">
          <x14:formula1>
            <xm:f>Categories!$J$5:$J$6</xm:f>
          </x14:formula1>
          <xm:sqref>J5:J1000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A47CF8-6239-4861-B9AB-FD182D074724}">
  <dimension ref="A1:F22"/>
  <sheetViews>
    <sheetView showGridLines="0" workbookViewId="0">
      <pane ySplit="4" topLeftCell="A5" activePane="bottomLeft" state="frozen"/>
      <selection pane="bottomLeft" sqref="A1:F1"/>
    </sheetView>
  </sheetViews>
  <sheetFormatPr defaultRowHeight="15" x14ac:dyDescent="0.25"/>
  <cols>
    <col min="1" max="1" width="24" bestFit="1" customWidth="1"/>
    <col min="2" max="2" width="18.5703125" bestFit="1" customWidth="1"/>
    <col min="3" max="3" width="19.28515625" bestFit="1" customWidth="1"/>
    <col min="4" max="4" width="21.28515625" bestFit="1" customWidth="1"/>
    <col min="5" max="5" width="20.5703125" bestFit="1" customWidth="1"/>
    <col min="6" max="6" width="14.42578125" bestFit="1" customWidth="1"/>
  </cols>
  <sheetData>
    <row r="1" spans="1:6" ht="26.25" x14ac:dyDescent="0.25">
      <c r="A1" s="20" t="s">
        <v>123</v>
      </c>
      <c r="B1" s="20"/>
      <c r="C1" s="20"/>
      <c r="D1" s="20"/>
      <c r="E1" s="20"/>
      <c r="F1" s="20"/>
    </row>
    <row r="2" spans="1:6" x14ac:dyDescent="0.25">
      <c r="A2" s="27" t="s">
        <v>124</v>
      </c>
      <c r="B2" s="28">
        <f>Dashboard!B3</f>
        <v>46266</v>
      </c>
      <c r="C2" s="8"/>
      <c r="D2" s="8"/>
      <c r="E2" s="8"/>
      <c r="F2" s="8"/>
    </row>
    <row r="3" spans="1:6" x14ac:dyDescent="0.25">
      <c r="A3" s="8"/>
      <c r="B3" s="8"/>
      <c r="C3" s="8"/>
      <c r="D3" s="8"/>
      <c r="E3" s="8"/>
      <c r="F3" s="8"/>
    </row>
    <row r="4" spans="1:6" x14ac:dyDescent="0.25">
      <c r="A4" s="8" t="s">
        <v>2</v>
      </c>
      <c r="B4" s="8" t="s">
        <v>125</v>
      </c>
      <c r="C4" s="8" t="s">
        <v>126</v>
      </c>
      <c r="D4" s="8" t="s">
        <v>127</v>
      </c>
      <c r="E4" s="8" t="s">
        <v>128</v>
      </c>
      <c r="F4" s="8" t="s">
        <v>91</v>
      </c>
    </row>
    <row r="5" spans="1:6" x14ac:dyDescent="0.25">
      <c r="A5" s="8" t="s">
        <v>6</v>
      </c>
      <c r="B5" s="23">
        <v>1900</v>
      </c>
      <c r="C5" s="23">
        <f>SUMIFS(tblTransactions[Amount],tblTransactions[Type],"Expense",tblTransactions[Category],tblBudget[[#This Row],[Category]],tblTransactions[Date],"&gt;="&amp;$B$2,tblTransactions[Date],"&lt;"&amp;EDATE($B$2,1))</f>
        <v>1850</v>
      </c>
      <c r="D5" s="23">
        <f>tblBudget[[#This Row],[Monthly Budget]]-tblBudget[[#This Row],[Actual Spending]]</f>
        <v>50</v>
      </c>
      <c r="E5" s="29">
        <f>IFERROR(tblBudget[[#This Row],[Actual Spending]]/tblBudget[[#This Row],[Monthly Budget]],0)</f>
        <v>0.97368421052631582</v>
      </c>
      <c r="F5" s="8" t="str">
        <f>IF(tblBudget[[#This Row],[% of Budget Used]]&gt;1,"Over Budget",IF(tblBudget[[#This Row],[% of Budget Used]]&gt;=0.85,"Close","Under Budget"))</f>
        <v>Close</v>
      </c>
    </row>
    <row r="6" spans="1:6" x14ac:dyDescent="0.25">
      <c r="A6" s="8" t="s">
        <v>13</v>
      </c>
      <c r="B6" s="23">
        <v>350</v>
      </c>
      <c r="C6" s="23">
        <f>SUMIFS(tblTransactions[Amount],tblTransactions[Type],"Expense",tblTransactions[Category],tblBudget[[#This Row],[Category]],tblTransactions[Date],"&gt;="&amp;$B$2,tblTransactions[Date],"&lt;"&amp;EDATE($B$2,1))</f>
        <v>245</v>
      </c>
      <c r="D6" s="23">
        <f>tblBudget[[#This Row],[Monthly Budget]]-tblBudget[[#This Row],[Actual Spending]]</f>
        <v>105</v>
      </c>
      <c r="E6" s="29">
        <f>IFERROR(tblBudget[[#This Row],[Actual Spending]]/tblBudget[[#This Row],[Monthly Budget]],0)</f>
        <v>0.7</v>
      </c>
      <c r="F6" s="8" t="str">
        <f>IF(tblBudget[[#This Row],[% of Budget Used]]&gt;1,"Over Budget",IF(tblBudget[[#This Row],[% of Budget Used]]&gt;=0.85,"Close","Under Budget"))</f>
        <v>Under Budget</v>
      </c>
    </row>
    <row r="7" spans="1:6" x14ac:dyDescent="0.25">
      <c r="A7" s="8" t="s">
        <v>18</v>
      </c>
      <c r="B7" s="23">
        <v>700</v>
      </c>
      <c r="C7" s="23">
        <f>SUMIFS(tblTransactions[Amount],tblTransactions[Type],"Expense",tblTransactions[Category],tblBudget[[#This Row],[Category]],tblTransactions[Date],"&gt;="&amp;$B$2,tblTransactions[Date],"&lt;"&amp;EDATE($B$2,1))</f>
        <v>735</v>
      </c>
      <c r="D7" s="23">
        <f>tblBudget[[#This Row],[Monthly Budget]]-tblBudget[[#This Row],[Actual Spending]]</f>
        <v>-35</v>
      </c>
      <c r="E7" s="29">
        <f>IFERROR(tblBudget[[#This Row],[Actual Spending]]/tblBudget[[#This Row],[Monthly Budget]],0)</f>
        <v>1.05</v>
      </c>
      <c r="F7" s="8" t="str">
        <f>IF(tblBudget[[#This Row],[% of Budget Used]]&gt;1,"Over Budget",IF(tblBudget[[#This Row],[% of Budget Used]]&gt;=0.85,"Close","Under Budget"))</f>
        <v>Over Budget</v>
      </c>
    </row>
    <row r="8" spans="1:6" x14ac:dyDescent="0.25">
      <c r="A8" s="8" t="s">
        <v>21</v>
      </c>
      <c r="B8" s="23">
        <v>350</v>
      </c>
      <c r="C8" s="23">
        <f>SUMIFS(tblTransactions[Amount],tblTransactions[Type],"Expense",tblTransactions[Category],tblBudget[[#This Row],[Category]],tblTransactions[Date],"&gt;="&amp;$B$2,tblTransactions[Date],"&lt;"&amp;EDATE($B$2,1))</f>
        <v>310</v>
      </c>
      <c r="D8" s="23">
        <f>tblBudget[[#This Row],[Monthly Budget]]-tblBudget[[#This Row],[Actual Spending]]</f>
        <v>40</v>
      </c>
      <c r="E8" s="29">
        <f>IFERROR(tblBudget[[#This Row],[Actual Spending]]/tblBudget[[#This Row],[Monthly Budget]],0)</f>
        <v>0.88571428571428568</v>
      </c>
      <c r="F8" s="8" t="str">
        <f>IF(tblBudget[[#This Row],[% of Budget Used]]&gt;1,"Over Budget",IF(tblBudget[[#This Row],[% of Budget Used]]&gt;=0.85,"Close","Under Budget"))</f>
        <v>Close</v>
      </c>
    </row>
    <row r="9" spans="1:6" x14ac:dyDescent="0.25">
      <c r="A9" s="8" t="s">
        <v>24</v>
      </c>
      <c r="B9" s="23">
        <v>250</v>
      </c>
      <c r="C9" s="23">
        <f>SUMIFS(tblTransactions[Amount],tblTransactions[Type],"Expense",tblTransactions[Category],tblBudget[[#This Row],[Category]],tblTransactions[Date],"&gt;="&amp;$B$2,tblTransactions[Date],"&lt;"&amp;EDATE($B$2,1))</f>
        <v>180</v>
      </c>
      <c r="D9" s="23">
        <f>tblBudget[[#This Row],[Monthly Budget]]-tblBudget[[#This Row],[Actual Spending]]</f>
        <v>70</v>
      </c>
      <c r="E9" s="29">
        <f>IFERROR(tblBudget[[#This Row],[Actual Spending]]/tblBudget[[#This Row],[Monthly Budget]],0)</f>
        <v>0.72</v>
      </c>
      <c r="F9" s="8" t="str">
        <f>IF(tblBudget[[#This Row],[% of Budget Used]]&gt;1,"Over Budget",IF(tblBudget[[#This Row],[% of Budget Used]]&gt;=0.85,"Close","Under Budget"))</f>
        <v>Under Budget</v>
      </c>
    </row>
    <row r="10" spans="1:6" x14ac:dyDescent="0.25">
      <c r="A10" s="8" t="s">
        <v>27</v>
      </c>
      <c r="B10" s="23">
        <v>200</v>
      </c>
      <c r="C10" s="23">
        <f>SUMIFS(tblTransactions[Amount],tblTransactions[Type],"Expense",tblTransactions[Category],tblBudget[[#This Row],[Category]],tblTransactions[Date],"&gt;="&amp;$B$2,tblTransactions[Date],"&lt;"&amp;EDATE($B$2,1))</f>
        <v>0</v>
      </c>
      <c r="D10" s="23">
        <f>tblBudget[[#This Row],[Monthly Budget]]-tblBudget[[#This Row],[Actual Spending]]</f>
        <v>200</v>
      </c>
      <c r="E10" s="29">
        <f>IFERROR(tblBudget[[#This Row],[Actual Spending]]/tblBudget[[#This Row],[Monthly Budget]],0)</f>
        <v>0</v>
      </c>
      <c r="F10" s="8" t="str">
        <f>IF(tblBudget[[#This Row],[% of Budget Used]]&gt;1,"Over Budget",IF(tblBudget[[#This Row],[% of Budget Used]]&gt;=0.85,"Close","Under Budget"))</f>
        <v>Under Budget</v>
      </c>
    </row>
    <row r="11" spans="1:6" x14ac:dyDescent="0.25">
      <c r="A11" s="8" t="s">
        <v>30</v>
      </c>
      <c r="B11" s="23">
        <v>250</v>
      </c>
      <c r="C11" s="23">
        <f>SUMIFS(tblTransactions[Amount],tblTransactions[Type],"Expense",tblTransactions[Category],tblBudget[[#This Row],[Category]],tblTransactions[Date],"&gt;="&amp;$B$2,tblTransactions[Date],"&lt;"&amp;EDATE($B$2,1))</f>
        <v>90</v>
      </c>
      <c r="D11" s="23">
        <f>tblBudget[[#This Row],[Monthly Budget]]-tblBudget[[#This Row],[Actual Spending]]</f>
        <v>160</v>
      </c>
      <c r="E11" s="29">
        <f>IFERROR(tblBudget[[#This Row],[Actual Spending]]/tblBudget[[#This Row],[Monthly Budget]],0)</f>
        <v>0.36</v>
      </c>
      <c r="F11" s="8" t="str">
        <f>IF(tblBudget[[#This Row],[% of Budget Used]]&gt;1,"Over Budget",IF(tblBudget[[#This Row],[% of Budget Used]]&gt;=0.85,"Close","Under Budget"))</f>
        <v>Under Budget</v>
      </c>
    </row>
    <row r="12" spans="1:6" x14ac:dyDescent="0.25">
      <c r="A12" s="8" t="s">
        <v>33</v>
      </c>
      <c r="B12" s="23">
        <v>300</v>
      </c>
      <c r="C12" s="23">
        <f>SUMIFS(tblTransactions[Amount],tblTransactions[Type],"Expense",tblTransactions[Category],tblBudget[[#This Row],[Category]],tblTransactions[Date],"&gt;="&amp;$B$2,tblTransactions[Date],"&lt;"&amp;EDATE($B$2,1))</f>
        <v>0</v>
      </c>
      <c r="D12" s="23">
        <f>tblBudget[[#This Row],[Monthly Budget]]-tblBudget[[#This Row],[Actual Spending]]</f>
        <v>300</v>
      </c>
      <c r="E12" s="29">
        <f>IFERROR(tblBudget[[#This Row],[Actual Spending]]/tblBudget[[#This Row],[Monthly Budget]],0)</f>
        <v>0</v>
      </c>
      <c r="F12" s="8" t="str">
        <f>IF(tblBudget[[#This Row],[% of Budget Used]]&gt;1,"Over Budget",IF(tblBudget[[#This Row],[% of Budget Used]]&gt;=0.85,"Close","Under Budget"))</f>
        <v>Under Budget</v>
      </c>
    </row>
    <row r="13" spans="1:6" x14ac:dyDescent="0.25">
      <c r="A13" s="8" t="s">
        <v>36</v>
      </c>
      <c r="B13" s="23">
        <v>300</v>
      </c>
      <c r="C13" s="23">
        <f>SUMIFS(tblTransactions[Amount],tblTransactions[Type],"Expense",tblTransactions[Category],tblBudget[[#This Row],[Category]],tblTransactions[Date],"&gt;="&amp;$B$2,tblTransactions[Date],"&lt;"&amp;EDATE($B$2,1))</f>
        <v>0</v>
      </c>
      <c r="D13" s="23">
        <f>tblBudget[[#This Row],[Monthly Budget]]-tblBudget[[#This Row],[Actual Spending]]</f>
        <v>300</v>
      </c>
      <c r="E13" s="29">
        <f>IFERROR(tblBudget[[#This Row],[Actual Spending]]/tblBudget[[#This Row],[Monthly Budget]],0)</f>
        <v>0</v>
      </c>
      <c r="F13" s="8" t="str">
        <f>IF(tblBudget[[#This Row],[% of Budget Used]]&gt;1,"Over Budget",IF(tblBudget[[#This Row],[% of Budget Used]]&gt;=0.85,"Close","Under Budget"))</f>
        <v>Under Budget</v>
      </c>
    </row>
    <row r="14" spans="1:6" x14ac:dyDescent="0.25">
      <c r="A14" s="8" t="s">
        <v>39</v>
      </c>
      <c r="B14" s="23">
        <v>200</v>
      </c>
      <c r="C14" s="23">
        <f>SUMIFS(tblTransactions[Amount],tblTransactions[Type],"Expense",tblTransactions[Category],tblBudget[[#This Row],[Category]],tblTransactions[Date],"&gt;="&amp;$B$2,tblTransactions[Date],"&lt;"&amp;EDATE($B$2,1))</f>
        <v>55</v>
      </c>
      <c r="D14" s="23">
        <f>tblBudget[[#This Row],[Monthly Budget]]-tblBudget[[#This Row],[Actual Spending]]</f>
        <v>145</v>
      </c>
      <c r="E14" s="29">
        <f>IFERROR(tblBudget[[#This Row],[Actual Spending]]/tblBudget[[#This Row],[Monthly Budget]],0)</f>
        <v>0.27500000000000002</v>
      </c>
      <c r="F14" s="8" t="str">
        <f>IF(tblBudget[[#This Row],[% of Budget Used]]&gt;1,"Over Budget",IF(tblBudget[[#This Row],[% of Budget Used]]&gt;=0.85,"Close","Under Budget"))</f>
        <v>Under Budget</v>
      </c>
    </row>
    <row r="15" spans="1:6" x14ac:dyDescent="0.25">
      <c r="A15" s="8" t="s">
        <v>42</v>
      </c>
      <c r="B15" s="23">
        <v>400</v>
      </c>
      <c r="C15" s="23">
        <f>SUMIFS(tblTransactions[Amount],tblTransactions[Type],"Expense",tblTransactions[Category],tblBudget[[#This Row],[Category]],tblTransactions[Date],"&gt;="&amp;$B$2,tblTransactions[Date],"&lt;"&amp;EDATE($B$2,1))</f>
        <v>0</v>
      </c>
      <c r="D15" s="23">
        <f>tblBudget[[#This Row],[Monthly Budget]]-tblBudget[[#This Row],[Actual Spending]]</f>
        <v>400</v>
      </c>
      <c r="E15" s="29">
        <f>IFERROR(tblBudget[[#This Row],[Actual Spending]]/tblBudget[[#This Row],[Monthly Budget]],0)</f>
        <v>0</v>
      </c>
      <c r="F15" s="8" t="str">
        <f>IF(tblBudget[[#This Row],[% of Budget Used]]&gt;1,"Over Budget",IF(tblBudget[[#This Row],[% of Budget Used]]&gt;=0.85,"Close","Under Budget"))</f>
        <v>Under Budget</v>
      </c>
    </row>
    <row r="16" spans="1:6" x14ac:dyDescent="0.25">
      <c r="A16" s="8" t="s">
        <v>45</v>
      </c>
      <c r="B16" s="23">
        <v>120</v>
      </c>
      <c r="C16" s="23">
        <f>SUMIFS(tblTransactions[Amount],tblTransactions[Type],"Expense",tblTransactions[Category],tblBudget[[#This Row],[Category]],tblTransactions[Date],"&gt;="&amp;$B$2,tblTransactions[Date],"&lt;"&amp;EDATE($B$2,1))</f>
        <v>0</v>
      </c>
      <c r="D16" s="23">
        <f>tblBudget[[#This Row],[Monthly Budget]]-tblBudget[[#This Row],[Actual Spending]]</f>
        <v>120</v>
      </c>
      <c r="E16" s="29">
        <f>IFERROR(tblBudget[[#This Row],[Actual Spending]]/tblBudget[[#This Row],[Monthly Budget]],0)</f>
        <v>0</v>
      </c>
      <c r="F16" s="8" t="str">
        <f>IF(tblBudget[[#This Row],[% of Budget Used]]&gt;1,"Over Budget",IF(tblBudget[[#This Row],[% of Budget Used]]&gt;=0.85,"Close","Under Budget"))</f>
        <v>Under Budget</v>
      </c>
    </row>
    <row r="17" spans="1:6" x14ac:dyDescent="0.25">
      <c r="A17" s="8" t="s">
        <v>48</v>
      </c>
      <c r="B17" s="23">
        <v>100</v>
      </c>
      <c r="C17" s="23">
        <f>SUMIFS(tblTransactions[Amount],tblTransactions[Type],"Expense",tblTransactions[Category],tblBudget[[#This Row],[Category]],tblTransactions[Date],"&gt;="&amp;$B$2,tblTransactions[Date],"&lt;"&amp;EDATE($B$2,1))</f>
        <v>0</v>
      </c>
      <c r="D17" s="23">
        <f>tblBudget[[#This Row],[Monthly Budget]]-tblBudget[[#This Row],[Actual Spending]]</f>
        <v>100</v>
      </c>
      <c r="E17" s="29">
        <f>IFERROR(tblBudget[[#This Row],[Actual Spending]]/tblBudget[[#This Row],[Monthly Budget]],0)</f>
        <v>0</v>
      </c>
      <c r="F17" s="8" t="str">
        <f>IF(tblBudget[[#This Row],[% of Budget Used]]&gt;1,"Over Budget",IF(tblBudget[[#This Row],[% of Budget Used]]&gt;=0.85,"Close","Under Budget"))</f>
        <v>Under Budget</v>
      </c>
    </row>
    <row r="18" spans="1:6" x14ac:dyDescent="0.25">
      <c r="A18" s="8" t="s">
        <v>51</v>
      </c>
      <c r="B18" s="23">
        <v>180</v>
      </c>
      <c r="C18" s="23">
        <f>SUMIFS(tblTransactions[Amount],tblTransactions[Type],"Expense",tblTransactions[Category],tblBudget[[#This Row],[Category]],tblTransactions[Date],"&gt;="&amp;$B$2,tblTransactions[Date],"&lt;"&amp;EDATE($B$2,1))</f>
        <v>0</v>
      </c>
      <c r="D18" s="23">
        <f>tblBudget[[#This Row],[Monthly Budget]]-tblBudget[[#This Row],[Actual Spending]]</f>
        <v>180</v>
      </c>
      <c r="E18" s="29">
        <f>IFERROR(tblBudget[[#This Row],[Actual Spending]]/tblBudget[[#This Row],[Monthly Budget]],0)</f>
        <v>0</v>
      </c>
      <c r="F18" s="8" t="str">
        <f>IF(tblBudget[[#This Row],[% of Budget Used]]&gt;1,"Over Budget",IF(tblBudget[[#This Row],[% of Budget Used]]&gt;=0.85,"Close","Under Budget"))</f>
        <v>Under Budget</v>
      </c>
    </row>
    <row r="19" spans="1:6" x14ac:dyDescent="0.25">
      <c r="A19" s="8" t="s">
        <v>53</v>
      </c>
      <c r="B19" s="23">
        <v>250</v>
      </c>
      <c r="C19" s="23">
        <f>SUMIFS(tblTransactions[Amount],tblTransactions[Type],"Expense",tblTransactions[Category],tblBudget[[#This Row],[Category]],tblTransactions[Date],"&gt;="&amp;$B$2,tblTransactions[Date],"&lt;"&amp;EDATE($B$2,1))</f>
        <v>0</v>
      </c>
      <c r="D19" s="23">
        <f>tblBudget[[#This Row],[Monthly Budget]]-tblBudget[[#This Row],[Actual Spending]]</f>
        <v>250</v>
      </c>
      <c r="E19" s="29">
        <f>IFERROR(tblBudget[[#This Row],[Actual Spending]]/tblBudget[[#This Row],[Monthly Budget]],0)</f>
        <v>0</v>
      </c>
      <c r="F19" s="8" t="str">
        <f>IF(tblBudget[[#This Row],[% of Budget Used]]&gt;1,"Over Budget",IF(tblBudget[[#This Row],[% of Budget Used]]&gt;=0.85,"Close","Under Budget"))</f>
        <v>Under Budget</v>
      </c>
    </row>
    <row r="20" spans="1:6" x14ac:dyDescent="0.25">
      <c r="A20" s="8" t="s">
        <v>56</v>
      </c>
      <c r="B20" s="23">
        <v>150</v>
      </c>
      <c r="C20" s="23">
        <f>SUMIFS(tblTransactions[Amount],tblTransactions[Type],"Expense",tblTransactions[Category],tblBudget[[#This Row],[Category]],tblTransactions[Date],"&gt;="&amp;$B$2,tblTransactions[Date],"&lt;"&amp;EDATE($B$2,1))</f>
        <v>0</v>
      </c>
      <c r="D20" s="23">
        <f>tblBudget[[#This Row],[Monthly Budget]]-tblBudget[[#This Row],[Actual Spending]]</f>
        <v>150</v>
      </c>
      <c r="E20" s="29">
        <f>IFERROR(tblBudget[[#This Row],[Actual Spending]]/tblBudget[[#This Row],[Monthly Budget]],0)</f>
        <v>0</v>
      </c>
      <c r="F20" s="8" t="str">
        <f>IF(tblBudget[[#This Row],[% of Budget Used]]&gt;1,"Over Budget",IF(tblBudget[[#This Row],[% of Budget Used]]&gt;=0.85,"Close","Under Budget"))</f>
        <v>Under Budget</v>
      </c>
    </row>
    <row r="21" spans="1:6" x14ac:dyDescent="0.25">
      <c r="A21" s="8"/>
      <c r="B21" s="23"/>
      <c r="C21" s="23"/>
      <c r="D21" s="23"/>
      <c r="E21" s="29"/>
      <c r="F21" s="8"/>
    </row>
    <row r="22" spans="1:6" x14ac:dyDescent="0.25">
      <c r="A22" s="24" t="s">
        <v>129</v>
      </c>
      <c r="B22" s="25">
        <f>SUM(tblBudget[Monthly Budget])</f>
        <v>6000</v>
      </c>
      <c r="C22" s="25">
        <f>SUM(tblBudget[Actual Spending])</f>
        <v>3465</v>
      </c>
      <c r="D22" s="25">
        <f>B22-C22</f>
        <v>2535</v>
      </c>
      <c r="E22" s="26">
        <f>IFERROR(C22/B22,0)</f>
        <v>0.57750000000000001</v>
      </c>
      <c r="F22" s="24" t="str">
        <f>IF(E22&gt;1,"Over Budget",IF(E22&gt;=0.85,"Close","Under Budget"))</f>
        <v>Under Budget</v>
      </c>
    </row>
  </sheetData>
  <mergeCells count="1">
    <mergeCell ref="A1:F1"/>
  </mergeCells>
  <conditionalFormatting sqref="E5:E20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{16E793DA-924A-4613-BD29-754BC77CBBC5}</x14:id>
        </ext>
      </extLst>
    </cfRule>
  </conditionalFormatting>
  <conditionalFormatting sqref="A5:F20">
    <cfRule type="expression" dxfId="62" priority="2">
      <formula>$E5&gt;1</formula>
    </cfRule>
  </conditionalFormatting>
  <conditionalFormatting sqref="A5:F20">
    <cfRule type="expression" dxfId="61" priority="3">
      <formula>AND($E5&gt;=0.85,$E5&lt;=1)</formula>
    </cfRule>
  </conditionalFormatting>
  <pageMargins left="0.7" right="0.7" top="0.75" bottom="0.75" header="0.3" footer="0.3"/>
  <tableParts count="1">
    <tablePart r:id="rId1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16E793DA-924A-4613-BD29-754BC77CBBC5}">
            <x14:dataBar minLength="0" maxLength="100" negativeBarColorSameAsPositive="1" axisPosition="none">
              <x14:cfvo type="min"/>
              <x14:cfvo type="max"/>
            </x14:dataBar>
          </x14:cfRule>
          <xm:sqref>E5:E20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1C5695-F5BC-4F46-980C-95AECF721003}">
  <dimension ref="A1:M41"/>
  <sheetViews>
    <sheetView showGridLines="0" workbookViewId="0">
      <pane ySplit="4" topLeftCell="A5" activePane="bottomLeft" state="frozen"/>
      <selection pane="bottomLeft" sqref="A1:D1"/>
    </sheetView>
  </sheetViews>
  <sheetFormatPr defaultRowHeight="15" x14ac:dyDescent="0.25"/>
  <cols>
    <col min="1" max="2" width="24.7109375" customWidth="1"/>
    <col min="3" max="3" width="8.7109375" bestFit="1" customWidth="1"/>
    <col min="4" max="4" width="14" bestFit="1" customWidth="1"/>
    <col min="6" max="6" width="19.140625" bestFit="1" customWidth="1"/>
    <col min="7" max="7" width="18.7109375" bestFit="1" customWidth="1"/>
    <col min="8" max="8" width="16.140625" bestFit="1" customWidth="1"/>
    <col min="9" max="9" width="7.7109375" bestFit="1" customWidth="1"/>
    <col min="12" max="12" width="12" bestFit="1" customWidth="1"/>
    <col min="13" max="13" width="8.42578125" bestFit="1" customWidth="1"/>
  </cols>
  <sheetData>
    <row r="1" spans="1:13" ht="26.25" x14ac:dyDescent="0.25">
      <c r="A1" s="20" t="s">
        <v>0</v>
      </c>
      <c r="B1" s="20"/>
      <c r="C1" s="20"/>
      <c r="D1" s="20"/>
      <c r="E1" s="8"/>
      <c r="F1" s="8"/>
      <c r="G1" s="8"/>
      <c r="H1" s="8"/>
      <c r="I1" s="8"/>
      <c r="J1" s="8"/>
      <c r="K1" s="8"/>
      <c r="L1" s="8"/>
      <c r="M1" s="8"/>
    </row>
    <row r="2" spans="1:13" x14ac:dyDescent="0.25">
      <c r="A2" s="30" t="s">
        <v>1</v>
      </c>
      <c r="B2" s="30"/>
      <c r="C2" s="30"/>
      <c r="D2" s="30"/>
      <c r="E2" s="8"/>
      <c r="F2" s="8"/>
      <c r="G2" s="8"/>
      <c r="H2" s="8"/>
      <c r="I2" s="8"/>
      <c r="J2" s="8"/>
      <c r="K2" s="8"/>
      <c r="L2" s="8"/>
      <c r="M2" s="8"/>
    </row>
    <row r="3" spans="1:13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</row>
    <row r="4" spans="1:13" x14ac:dyDescent="0.25">
      <c r="A4" s="8" t="s">
        <v>2</v>
      </c>
      <c r="B4" s="8" t="s">
        <v>3</v>
      </c>
      <c r="C4" s="8" t="s">
        <v>4</v>
      </c>
      <c r="D4" s="8" t="s">
        <v>5</v>
      </c>
      <c r="E4" s="8"/>
      <c r="F4" s="24" t="s">
        <v>65</v>
      </c>
      <c r="G4" s="24" t="s">
        <v>66</v>
      </c>
      <c r="H4" s="24" t="s">
        <v>67</v>
      </c>
      <c r="I4" s="24" t="s">
        <v>68</v>
      </c>
      <c r="J4" s="24" t="s">
        <v>69</v>
      </c>
      <c r="K4" s="8"/>
      <c r="L4" s="24" t="s">
        <v>84</v>
      </c>
      <c r="M4" s="24" t="s">
        <v>91</v>
      </c>
    </row>
    <row r="5" spans="1:13" x14ac:dyDescent="0.25">
      <c r="A5" s="8" t="s">
        <v>6</v>
      </c>
      <c r="B5" s="8" t="s">
        <v>7</v>
      </c>
      <c r="C5" s="8" t="s">
        <v>8</v>
      </c>
      <c r="D5" s="8" t="s">
        <v>9</v>
      </c>
      <c r="E5" s="8"/>
      <c r="F5" s="8" t="s">
        <v>60</v>
      </c>
      <c r="G5" s="8" t="s">
        <v>70</v>
      </c>
      <c r="H5" s="8" t="s">
        <v>71</v>
      </c>
      <c r="I5" s="8" t="s">
        <v>72</v>
      </c>
      <c r="J5" s="8" t="s">
        <v>73</v>
      </c>
      <c r="K5" s="8"/>
      <c r="L5" s="8" t="s">
        <v>85</v>
      </c>
      <c r="M5" s="8" t="s">
        <v>92</v>
      </c>
    </row>
    <row r="6" spans="1:13" x14ac:dyDescent="0.25">
      <c r="A6" s="8" t="s">
        <v>6</v>
      </c>
      <c r="B6" s="8" t="s">
        <v>10</v>
      </c>
      <c r="C6" s="8" t="s">
        <v>8</v>
      </c>
      <c r="D6" s="8" t="s">
        <v>9</v>
      </c>
      <c r="E6" s="8"/>
      <c r="F6" s="8" t="s">
        <v>8</v>
      </c>
      <c r="G6" s="8" t="s">
        <v>74</v>
      </c>
      <c r="H6" s="8" t="s">
        <v>75</v>
      </c>
      <c r="I6" s="8" t="s">
        <v>76</v>
      </c>
      <c r="J6" s="8" t="s">
        <v>77</v>
      </c>
      <c r="K6" s="8"/>
      <c r="L6" s="8" t="s">
        <v>86</v>
      </c>
      <c r="M6" s="8" t="s">
        <v>93</v>
      </c>
    </row>
    <row r="7" spans="1:13" x14ac:dyDescent="0.25">
      <c r="A7" s="8" t="s">
        <v>6</v>
      </c>
      <c r="B7" s="8" t="s">
        <v>11</v>
      </c>
      <c r="C7" s="8" t="s">
        <v>8</v>
      </c>
      <c r="D7" s="8" t="s">
        <v>12</v>
      </c>
      <c r="E7" s="8"/>
      <c r="F7" s="8"/>
      <c r="G7" s="8" t="s">
        <v>78</v>
      </c>
      <c r="H7" s="8" t="s">
        <v>79</v>
      </c>
      <c r="I7" s="8"/>
      <c r="J7" s="8"/>
      <c r="K7" s="8"/>
      <c r="L7" s="8" t="s">
        <v>87</v>
      </c>
      <c r="M7" s="8"/>
    </row>
    <row r="8" spans="1:13" x14ac:dyDescent="0.25">
      <c r="A8" s="8" t="s">
        <v>13</v>
      </c>
      <c r="B8" s="8" t="s">
        <v>14</v>
      </c>
      <c r="C8" s="8" t="s">
        <v>8</v>
      </c>
      <c r="D8" s="8" t="s">
        <v>12</v>
      </c>
      <c r="E8" s="8"/>
      <c r="F8" s="8"/>
      <c r="G8" s="8" t="s">
        <v>80</v>
      </c>
      <c r="H8" s="8" t="s">
        <v>81</v>
      </c>
      <c r="I8" s="8"/>
      <c r="J8" s="8"/>
      <c r="K8" s="8"/>
      <c r="L8" s="8" t="s">
        <v>88</v>
      </c>
      <c r="M8" s="8"/>
    </row>
    <row r="9" spans="1:13" x14ac:dyDescent="0.25">
      <c r="A9" s="8" t="s">
        <v>13</v>
      </c>
      <c r="B9" s="8" t="s">
        <v>15</v>
      </c>
      <c r="C9" s="8" t="s">
        <v>8</v>
      </c>
      <c r="D9" s="8" t="s">
        <v>12</v>
      </c>
      <c r="E9" s="8"/>
      <c r="F9" s="8"/>
      <c r="G9" s="8" t="s">
        <v>82</v>
      </c>
      <c r="H9" s="8" t="s">
        <v>83</v>
      </c>
      <c r="I9" s="8"/>
      <c r="J9" s="8"/>
      <c r="K9" s="8"/>
      <c r="L9" s="8" t="s">
        <v>89</v>
      </c>
      <c r="M9" s="8"/>
    </row>
    <row r="10" spans="1:13" x14ac:dyDescent="0.25">
      <c r="A10" s="8" t="s">
        <v>13</v>
      </c>
      <c r="B10" s="8" t="s">
        <v>16</v>
      </c>
      <c r="C10" s="8" t="s">
        <v>8</v>
      </c>
      <c r="D10" s="8" t="s">
        <v>9</v>
      </c>
      <c r="E10" s="8"/>
      <c r="F10" s="8"/>
      <c r="G10" s="8"/>
      <c r="H10" s="8"/>
      <c r="I10" s="8"/>
      <c r="J10" s="8"/>
      <c r="K10" s="8"/>
      <c r="L10" s="8" t="s">
        <v>90</v>
      </c>
      <c r="M10" s="8"/>
    </row>
    <row r="11" spans="1:13" x14ac:dyDescent="0.25">
      <c r="A11" s="8" t="s">
        <v>13</v>
      </c>
      <c r="B11" s="8" t="s">
        <v>17</v>
      </c>
      <c r="C11" s="8" t="s">
        <v>8</v>
      </c>
      <c r="D11" s="8" t="s">
        <v>9</v>
      </c>
      <c r="E11" s="8"/>
      <c r="F11" s="8"/>
      <c r="G11" s="8"/>
      <c r="H11" s="8"/>
      <c r="I11" s="8"/>
      <c r="J11" s="8"/>
      <c r="K11" s="8"/>
      <c r="L11" s="8"/>
      <c r="M11" s="8"/>
    </row>
    <row r="12" spans="1:13" x14ac:dyDescent="0.25">
      <c r="A12" s="8" t="s">
        <v>18</v>
      </c>
      <c r="B12" s="8" t="s">
        <v>19</v>
      </c>
      <c r="C12" s="8" t="s">
        <v>8</v>
      </c>
      <c r="D12" s="8" t="s">
        <v>12</v>
      </c>
      <c r="E12" s="8"/>
      <c r="F12" s="8"/>
      <c r="G12" s="8"/>
      <c r="H12" s="8"/>
      <c r="I12" s="8"/>
      <c r="J12" s="8"/>
      <c r="K12" s="8"/>
      <c r="L12" s="8"/>
      <c r="M12" s="8"/>
    </row>
    <row r="13" spans="1:13" x14ac:dyDescent="0.25">
      <c r="A13" s="8" t="s">
        <v>18</v>
      </c>
      <c r="B13" s="8" t="s">
        <v>20</v>
      </c>
      <c r="C13" s="8" t="s">
        <v>8</v>
      </c>
      <c r="D13" s="8" t="s">
        <v>12</v>
      </c>
      <c r="E13" s="8"/>
      <c r="F13" s="8"/>
      <c r="G13" s="8"/>
      <c r="H13" s="8"/>
      <c r="I13" s="8"/>
      <c r="J13" s="8"/>
      <c r="K13" s="8"/>
      <c r="L13" s="8"/>
      <c r="M13" s="8"/>
    </row>
    <row r="14" spans="1:13" x14ac:dyDescent="0.25">
      <c r="A14" s="8" t="s">
        <v>21</v>
      </c>
      <c r="B14" s="8" t="s">
        <v>22</v>
      </c>
      <c r="C14" s="8" t="s">
        <v>8</v>
      </c>
      <c r="D14" s="8" t="s">
        <v>12</v>
      </c>
      <c r="E14" s="8"/>
      <c r="F14" s="8"/>
      <c r="G14" s="8"/>
      <c r="H14" s="8"/>
      <c r="I14" s="8"/>
      <c r="J14" s="8"/>
      <c r="K14" s="8"/>
      <c r="L14" s="8"/>
      <c r="M14" s="8"/>
    </row>
    <row r="15" spans="1:13" x14ac:dyDescent="0.25">
      <c r="A15" s="8" t="s">
        <v>21</v>
      </c>
      <c r="B15" s="8" t="s">
        <v>23</v>
      </c>
      <c r="C15" s="8" t="s">
        <v>8</v>
      </c>
      <c r="D15" s="8" t="s">
        <v>12</v>
      </c>
      <c r="E15" s="8"/>
      <c r="F15" s="8"/>
      <c r="G15" s="8"/>
      <c r="H15" s="8"/>
      <c r="I15" s="8"/>
      <c r="J15" s="8"/>
      <c r="K15" s="8"/>
      <c r="L15" s="8"/>
      <c r="M15" s="8"/>
    </row>
    <row r="16" spans="1:13" x14ac:dyDescent="0.25">
      <c r="A16" s="8" t="s">
        <v>24</v>
      </c>
      <c r="B16" s="8" t="s">
        <v>25</v>
      </c>
      <c r="C16" s="8" t="s">
        <v>8</v>
      </c>
      <c r="D16" s="8" t="s">
        <v>12</v>
      </c>
      <c r="E16" s="8"/>
      <c r="F16" s="8"/>
      <c r="G16" s="8"/>
      <c r="H16" s="8"/>
      <c r="I16" s="8"/>
      <c r="J16" s="8"/>
      <c r="K16" s="8"/>
      <c r="L16" s="8"/>
      <c r="M16" s="8"/>
    </row>
    <row r="17" spans="1:13" x14ac:dyDescent="0.25">
      <c r="A17" s="8" t="s">
        <v>24</v>
      </c>
      <c r="B17" s="8" t="s">
        <v>26</v>
      </c>
      <c r="C17" s="8" t="s">
        <v>8</v>
      </c>
      <c r="D17" s="8" t="s">
        <v>12</v>
      </c>
      <c r="E17" s="8"/>
      <c r="F17" s="8"/>
      <c r="G17" s="8"/>
      <c r="H17" s="8"/>
      <c r="I17" s="8"/>
      <c r="J17" s="8"/>
      <c r="K17" s="8"/>
      <c r="L17" s="8"/>
      <c r="M17" s="8"/>
    </row>
    <row r="18" spans="1:13" x14ac:dyDescent="0.25">
      <c r="A18" s="8" t="s">
        <v>27</v>
      </c>
      <c r="B18" s="8" t="s">
        <v>28</v>
      </c>
      <c r="C18" s="8" t="s">
        <v>8</v>
      </c>
      <c r="D18" s="8" t="s">
        <v>12</v>
      </c>
      <c r="E18" s="8"/>
      <c r="F18" s="8"/>
      <c r="G18" s="8"/>
      <c r="H18" s="8"/>
      <c r="I18" s="8"/>
      <c r="J18" s="8"/>
      <c r="K18" s="8"/>
      <c r="L18" s="8"/>
      <c r="M18" s="8"/>
    </row>
    <row r="19" spans="1:13" x14ac:dyDescent="0.25">
      <c r="A19" s="8" t="s">
        <v>27</v>
      </c>
      <c r="B19" s="8" t="s">
        <v>29</v>
      </c>
      <c r="C19" s="8" t="s">
        <v>8</v>
      </c>
      <c r="D19" s="8" t="s">
        <v>9</v>
      </c>
      <c r="E19" s="8"/>
      <c r="F19" s="8"/>
      <c r="G19" s="8"/>
      <c r="H19" s="8"/>
      <c r="I19" s="8"/>
      <c r="J19" s="8"/>
      <c r="K19" s="8"/>
      <c r="L19" s="8"/>
      <c r="M19" s="8"/>
    </row>
    <row r="20" spans="1:13" x14ac:dyDescent="0.25">
      <c r="A20" s="8" t="s">
        <v>30</v>
      </c>
      <c r="B20" s="8" t="s">
        <v>31</v>
      </c>
      <c r="C20" s="8" t="s">
        <v>8</v>
      </c>
      <c r="D20" s="8" t="s">
        <v>12</v>
      </c>
      <c r="E20" s="8"/>
      <c r="F20" s="8"/>
      <c r="G20" s="8"/>
      <c r="H20" s="8"/>
      <c r="I20" s="8"/>
      <c r="J20" s="8"/>
      <c r="K20" s="8"/>
      <c r="L20" s="8"/>
      <c r="M20" s="8"/>
    </row>
    <row r="21" spans="1:13" x14ac:dyDescent="0.25">
      <c r="A21" s="8" t="s">
        <v>30</v>
      </c>
      <c r="B21" s="8" t="s">
        <v>32</v>
      </c>
      <c r="C21" s="8" t="s">
        <v>8</v>
      </c>
      <c r="D21" s="8" t="s">
        <v>12</v>
      </c>
      <c r="E21" s="8"/>
      <c r="F21" s="8"/>
      <c r="G21" s="8"/>
      <c r="H21" s="8"/>
      <c r="I21" s="8"/>
      <c r="J21" s="8"/>
      <c r="K21" s="8"/>
      <c r="L21" s="8"/>
      <c r="M21" s="8"/>
    </row>
    <row r="22" spans="1:13" x14ac:dyDescent="0.25">
      <c r="A22" s="8" t="s">
        <v>33</v>
      </c>
      <c r="B22" s="8" t="s">
        <v>34</v>
      </c>
      <c r="C22" s="8" t="s">
        <v>8</v>
      </c>
      <c r="D22" s="8" t="s">
        <v>9</v>
      </c>
      <c r="E22" s="8"/>
      <c r="F22" s="8"/>
      <c r="G22" s="8"/>
      <c r="H22" s="8"/>
      <c r="I22" s="8"/>
      <c r="J22" s="8"/>
      <c r="K22" s="8"/>
      <c r="L22" s="8"/>
      <c r="M22" s="8"/>
    </row>
    <row r="23" spans="1:13" x14ac:dyDescent="0.25">
      <c r="A23" s="8" t="s">
        <v>33</v>
      </c>
      <c r="B23" s="8" t="s">
        <v>35</v>
      </c>
      <c r="C23" s="8" t="s">
        <v>8</v>
      </c>
      <c r="D23" s="8" t="s">
        <v>9</v>
      </c>
      <c r="E23" s="8"/>
      <c r="F23" s="8"/>
      <c r="G23" s="8"/>
      <c r="H23" s="8"/>
      <c r="I23" s="8"/>
      <c r="J23" s="8"/>
      <c r="K23" s="8"/>
      <c r="L23" s="8"/>
      <c r="M23" s="8"/>
    </row>
    <row r="24" spans="1:13" x14ac:dyDescent="0.25">
      <c r="A24" s="8" t="s">
        <v>36</v>
      </c>
      <c r="B24" s="8" t="s">
        <v>37</v>
      </c>
      <c r="C24" s="8" t="s">
        <v>8</v>
      </c>
      <c r="D24" s="8" t="s">
        <v>12</v>
      </c>
      <c r="E24" s="8"/>
      <c r="F24" s="8"/>
      <c r="G24" s="8"/>
      <c r="H24" s="8"/>
      <c r="I24" s="8"/>
      <c r="J24" s="8"/>
      <c r="K24" s="8"/>
      <c r="L24" s="8"/>
      <c r="M24" s="8"/>
    </row>
    <row r="25" spans="1:13" x14ac:dyDescent="0.25">
      <c r="A25" s="8" t="s">
        <v>36</v>
      </c>
      <c r="B25" s="8" t="s">
        <v>38</v>
      </c>
      <c r="C25" s="8" t="s">
        <v>8</v>
      </c>
      <c r="D25" s="8" t="s">
        <v>12</v>
      </c>
      <c r="E25" s="8"/>
      <c r="F25" s="8"/>
      <c r="G25" s="8"/>
      <c r="H25" s="8"/>
      <c r="I25" s="8"/>
      <c r="J25" s="8"/>
      <c r="K25" s="8"/>
      <c r="L25" s="8"/>
      <c r="M25" s="8"/>
    </row>
    <row r="26" spans="1:13" x14ac:dyDescent="0.25">
      <c r="A26" s="8" t="s">
        <v>39</v>
      </c>
      <c r="B26" s="8" t="s">
        <v>40</v>
      </c>
      <c r="C26" s="8" t="s">
        <v>8</v>
      </c>
      <c r="D26" s="8" t="s">
        <v>9</v>
      </c>
      <c r="E26" s="8"/>
      <c r="F26" s="8"/>
      <c r="G26" s="8"/>
      <c r="H26" s="8"/>
      <c r="I26" s="8"/>
      <c r="J26" s="8"/>
      <c r="K26" s="8"/>
      <c r="L26" s="8"/>
      <c r="M26" s="8"/>
    </row>
    <row r="27" spans="1:13" x14ac:dyDescent="0.25">
      <c r="A27" s="8" t="s">
        <v>39</v>
      </c>
      <c r="B27" s="8" t="s">
        <v>41</v>
      </c>
      <c r="C27" s="8" t="s">
        <v>8</v>
      </c>
      <c r="D27" s="8" t="s">
        <v>12</v>
      </c>
      <c r="E27" s="8"/>
      <c r="F27" s="8"/>
      <c r="G27" s="8"/>
      <c r="H27" s="8"/>
      <c r="I27" s="8"/>
      <c r="J27" s="8"/>
      <c r="K27" s="8"/>
      <c r="L27" s="8"/>
      <c r="M27" s="8"/>
    </row>
    <row r="28" spans="1:13" x14ac:dyDescent="0.25">
      <c r="A28" s="8" t="s">
        <v>42</v>
      </c>
      <c r="B28" s="8" t="s">
        <v>43</v>
      </c>
      <c r="C28" s="8" t="s">
        <v>8</v>
      </c>
      <c r="D28" s="8" t="s">
        <v>12</v>
      </c>
      <c r="E28" s="8"/>
      <c r="F28" s="8"/>
      <c r="G28" s="8"/>
      <c r="H28" s="8"/>
      <c r="I28" s="8"/>
      <c r="J28" s="8"/>
      <c r="K28" s="8"/>
      <c r="L28" s="8"/>
      <c r="M28" s="8"/>
    </row>
    <row r="29" spans="1:13" x14ac:dyDescent="0.25">
      <c r="A29" s="8" t="s">
        <v>42</v>
      </c>
      <c r="B29" s="8" t="s">
        <v>44</v>
      </c>
      <c r="C29" s="8" t="s">
        <v>8</v>
      </c>
      <c r="D29" s="8" t="s">
        <v>12</v>
      </c>
      <c r="E29" s="8"/>
      <c r="F29" s="8"/>
      <c r="G29" s="8"/>
      <c r="H29" s="8"/>
      <c r="I29" s="8"/>
      <c r="J29" s="8"/>
      <c r="K29" s="8"/>
      <c r="L29" s="8"/>
      <c r="M29" s="8"/>
    </row>
    <row r="30" spans="1:13" x14ac:dyDescent="0.25">
      <c r="A30" s="8" t="s">
        <v>45</v>
      </c>
      <c r="B30" s="8" t="s">
        <v>46</v>
      </c>
      <c r="C30" s="8" t="s">
        <v>8</v>
      </c>
      <c r="D30" s="8" t="s">
        <v>12</v>
      </c>
      <c r="E30" s="8"/>
      <c r="F30" s="8"/>
      <c r="G30" s="8"/>
      <c r="H30" s="8"/>
      <c r="I30" s="8"/>
      <c r="J30" s="8"/>
      <c r="K30" s="8"/>
      <c r="L30" s="8"/>
      <c r="M30" s="8"/>
    </row>
    <row r="31" spans="1:13" x14ac:dyDescent="0.25">
      <c r="A31" s="8" t="s">
        <v>45</v>
      </c>
      <c r="B31" s="8" t="s">
        <v>47</v>
      </c>
      <c r="C31" s="8" t="s">
        <v>8</v>
      </c>
      <c r="D31" s="8" t="s">
        <v>12</v>
      </c>
      <c r="E31" s="8"/>
      <c r="F31" s="8"/>
      <c r="G31" s="8"/>
      <c r="H31" s="8"/>
      <c r="I31" s="8"/>
      <c r="J31" s="8"/>
      <c r="K31" s="8"/>
      <c r="L31" s="8"/>
      <c r="M31" s="8"/>
    </row>
    <row r="32" spans="1:13" x14ac:dyDescent="0.25">
      <c r="A32" s="8" t="s">
        <v>48</v>
      </c>
      <c r="B32" s="8" t="s">
        <v>49</v>
      </c>
      <c r="C32" s="8" t="s">
        <v>8</v>
      </c>
      <c r="D32" s="8" t="s">
        <v>9</v>
      </c>
      <c r="E32" s="8"/>
      <c r="F32" s="8"/>
      <c r="G32" s="8"/>
      <c r="H32" s="8"/>
      <c r="I32" s="8"/>
      <c r="J32" s="8"/>
      <c r="K32" s="8"/>
      <c r="L32" s="8"/>
      <c r="M32" s="8"/>
    </row>
    <row r="33" spans="1:13" x14ac:dyDescent="0.25">
      <c r="A33" s="8" t="s">
        <v>48</v>
      </c>
      <c r="B33" s="8" t="s">
        <v>50</v>
      </c>
      <c r="C33" s="8" t="s">
        <v>8</v>
      </c>
      <c r="D33" s="8" t="s">
        <v>9</v>
      </c>
      <c r="E33" s="8"/>
      <c r="F33" s="8"/>
      <c r="G33" s="8"/>
      <c r="H33" s="8"/>
      <c r="I33" s="8"/>
      <c r="J33" s="8"/>
      <c r="K33" s="8"/>
      <c r="L33" s="8"/>
      <c r="M33" s="8"/>
    </row>
    <row r="34" spans="1:13" x14ac:dyDescent="0.25">
      <c r="A34" s="8" t="s">
        <v>51</v>
      </c>
      <c r="B34" s="8" t="s">
        <v>52</v>
      </c>
      <c r="C34" s="8" t="s">
        <v>8</v>
      </c>
      <c r="D34" s="8" t="s">
        <v>12</v>
      </c>
      <c r="E34" s="8"/>
      <c r="F34" s="8"/>
      <c r="G34" s="8"/>
      <c r="H34" s="8"/>
      <c r="I34" s="8"/>
      <c r="J34" s="8"/>
      <c r="K34" s="8"/>
      <c r="L34" s="8"/>
      <c r="M34" s="8"/>
    </row>
    <row r="35" spans="1:13" x14ac:dyDescent="0.25">
      <c r="A35" s="8" t="s">
        <v>53</v>
      </c>
      <c r="B35" s="8" t="s">
        <v>54</v>
      </c>
      <c r="C35" s="8" t="s">
        <v>8</v>
      </c>
      <c r="D35" s="8" t="s">
        <v>12</v>
      </c>
      <c r="E35" s="8"/>
      <c r="F35" s="8"/>
      <c r="G35" s="8"/>
      <c r="H35" s="8"/>
      <c r="I35" s="8"/>
      <c r="J35" s="8"/>
      <c r="K35" s="8"/>
      <c r="L35" s="8"/>
      <c r="M35" s="8"/>
    </row>
    <row r="36" spans="1:13" x14ac:dyDescent="0.25">
      <c r="A36" s="8" t="s">
        <v>53</v>
      </c>
      <c r="B36" s="8" t="s">
        <v>55</v>
      </c>
      <c r="C36" s="8" t="s">
        <v>8</v>
      </c>
      <c r="D36" s="8" t="s">
        <v>12</v>
      </c>
      <c r="E36" s="8"/>
      <c r="F36" s="8"/>
      <c r="G36" s="8"/>
      <c r="H36" s="8"/>
      <c r="I36" s="8"/>
      <c r="J36" s="8"/>
      <c r="K36" s="8"/>
      <c r="L36" s="8"/>
      <c r="M36" s="8"/>
    </row>
    <row r="37" spans="1:13" x14ac:dyDescent="0.25">
      <c r="A37" s="8" t="s">
        <v>56</v>
      </c>
      <c r="B37" s="8" t="s">
        <v>57</v>
      </c>
      <c r="C37" s="8" t="s">
        <v>8</v>
      </c>
      <c r="D37" s="8" t="s">
        <v>12</v>
      </c>
      <c r="E37" s="8"/>
      <c r="F37" s="8"/>
      <c r="G37" s="8"/>
      <c r="H37" s="8"/>
      <c r="I37" s="8"/>
      <c r="J37" s="8"/>
      <c r="K37" s="8"/>
      <c r="L37" s="8"/>
      <c r="M37" s="8"/>
    </row>
    <row r="38" spans="1:13" x14ac:dyDescent="0.25">
      <c r="A38" s="8" t="s">
        <v>58</v>
      </c>
      <c r="B38" s="8" t="s">
        <v>59</v>
      </c>
      <c r="C38" s="8" t="s">
        <v>60</v>
      </c>
      <c r="D38" s="8" t="s">
        <v>9</v>
      </c>
      <c r="E38" s="8"/>
      <c r="F38" s="8"/>
      <c r="G38" s="8"/>
      <c r="H38" s="8"/>
      <c r="I38" s="8"/>
      <c r="J38" s="8"/>
      <c r="K38" s="8"/>
      <c r="L38" s="8"/>
      <c r="M38" s="8"/>
    </row>
    <row r="39" spans="1:13" x14ac:dyDescent="0.25">
      <c r="A39" s="8" t="s">
        <v>58</v>
      </c>
      <c r="B39" s="8" t="s">
        <v>61</v>
      </c>
      <c r="C39" s="8" t="s">
        <v>60</v>
      </c>
      <c r="D39" s="8" t="s">
        <v>9</v>
      </c>
      <c r="E39" s="8"/>
      <c r="F39" s="8"/>
      <c r="G39" s="8"/>
      <c r="H39" s="8"/>
      <c r="I39" s="8"/>
      <c r="J39" s="8"/>
      <c r="K39" s="8"/>
      <c r="L39" s="8"/>
      <c r="M39" s="8"/>
    </row>
    <row r="40" spans="1:13" x14ac:dyDescent="0.25">
      <c r="A40" s="8" t="s">
        <v>62</v>
      </c>
      <c r="B40" s="8" t="s">
        <v>63</v>
      </c>
      <c r="C40" s="8" t="s">
        <v>60</v>
      </c>
      <c r="D40" s="8" t="s">
        <v>12</v>
      </c>
      <c r="E40" s="8"/>
      <c r="F40" s="8"/>
      <c r="G40" s="8"/>
      <c r="H40" s="8"/>
      <c r="I40" s="8"/>
      <c r="J40" s="8"/>
      <c r="K40" s="8"/>
      <c r="L40" s="8"/>
      <c r="M40" s="8"/>
    </row>
    <row r="41" spans="1:13" x14ac:dyDescent="0.25">
      <c r="A41" s="8" t="s">
        <v>62</v>
      </c>
      <c r="B41" s="8" t="s">
        <v>64</v>
      </c>
      <c r="C41" s="8" t="s">
        <v>60</v>
      </c>
      <c r="D41" s="8" t="s">
        <v>12</v>
      </c>
      <c r="E41" s="8"/>
      <c r="F41" s="8"/>
      <c r="G41" s="8"/>
      <c r="H41" s="8"/>
      <c r="I41" s="8"/>
      <c r="J41" s="8"/>
      <c r="K41" s="8"/>
      <c r="L41" s="8"/>
      <c r="M41" s="8"/>
    </row>
  </sheetData>
  <mergeCells count="2">
    <mergeCell ref="A1:D1"/>
    <mergeCell ref="A2:D2"/>
  </mergeCells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DB0393-73EC-4001-A708-21B970AE61AB}">
  <dimension ref="A1:K10"/>
  <sheetViews>
    <sheetView showGridLines="0" workbookViewId="0">
      <pane ySplit="5" topLeftCell="A6" activePane="bottomLeft" state="frozen"/>
      <selection pane="bottomLeft" sqref="A1:K1"/>
    </sheetView>
  </sheetViews>
  <sheetFormatPr defaultRowHeight="15" x14ac:dyDescent="0.25"/>
  <cols>
    <col min="1" max="1" width="23.85546875" customWidth="1"/>
    <col min="2" max="2" width="14.42578125" bestFit="1" customWidth="1"/>
    <col min="3" max="3" width="22.7109375" bestFit="1" customWidth="1"/>
    <col min="4" max="4" width="13.5703125" bestFit="1" customWidth="1"/>
    <col min="5" max="5" width="11.42578125" bestFit="1" customWidth="1"/>
    <col min="6" max="6" width="19.85546875" bestFit="1" customWidth="1"/>
    <col min="7" max="7" width="9.5703125" bestFit="1" customWidth="1"/>
    <col min="8" max="8" width="27.5703125" customWidth="1"/>
    <col min="9" max="9" width="22.140625" bestFit="1" customWidth="1"/>
    <col min="10" max="10" width="15.42578125" bestFit="1" customWidth="1"/>
    <col min="11" max="11" width="26.42578125" bestFit="1" customWidth="1"/>
  </cols>
  <sheetData>
    <row r="1" spans="1:11" ht="26.25" x14ac:dyDescent="0.25">
      <c r="A1" s="20" t="s">
        <v>130</v>
      </c>
      <c r="B1" s="20"/>
      <c r="C1" s="20"/>
      <c r="D1" s="20"/>
      <c r="E1" s="20"/>
      <c r="F1" s="20"/>
      <c r="G1" s="20"/>
      <c r="H1" s="20"/>
      <c r="I1" s="20"/>
      <c r="J1" s="20"/>
      <c r="K1" s="20"/>
    </row>
    <row r="2" spans="1:11" x14ac:dyDescent="0.25">
      <c r="A2" s="31" t="s">
        <v>131</v>
      </c>
      <c r="B2" s="31"/>
      <c r="C2" s="31" t="s">
        <v>132</v>
      </c>
      <c r="D2" s="31"/>
      <c r="E2" s="8"/>
      <c r="F2" s="8"/>
      <c r="G2" s="8"/>
      <c r="H2" s="8"/>
      <c r="I2" s="8"/>
      <c r="J2" s="8"/>
      <c r="K2" s="8"/>
    </row>
    <row r="3" spans="1:11" ht="21" x14ac:dyDescent="0.25">
      <c r="A3" s="32">
        <f>SUM(tblRecurring[Monthly Equivalent])</f>
        <v>2125</v>
      </c>
      <c r="B3" s="32"/>
      <c r="C3" s="32">
        <f>SUM(tblRecurring[Annual Cost])</f>
        <v>25500</v>
      </c>
      <c r="D3" s="8"/>
      <c r="E3" s="8"/>
      <c r="F3" s="8"/>
      <c r="G3" s="8"/>
      <c r="H3" s="8"/>
      <c r="I3" s="8"/>
      <c r="J3" s="8"/>
      <c r="K3" s="8"/>
    </row>
    <row r="4" spans="1:11" x14ac:dyDescent="0.25">
      <c r="A4" s="8"/>
      <c r="B4" s="8"/>
      <c r="C4" s="8"/>
      <c r="D4" s="8"/>
      <c r="E4" s="8"/>
      <c r="F4" s="8"/>
      <c r="G4" s="8"/>
      <c r="H4" s="8"/>
      <c r="I4" s="8"/>
      <c r="J4" s="8"/>
      <c r="K4" s="8"/>
    </row>
    <row r="5" spans="1:11" x14ac:dyDescent="0.25">
      <c r="A5" s="8" t="s">
        <v>133</v>
      </c>
      <c r="B5" s="8" t="s">
        <v>2</v>
      </c>
      <c r="C5" s="8" t="s">
        <v>98</v>
      </c>
      <c r="D5" s="8" t="s">
        <v>84</v>
      </c>
      <c r="E5" s="8" t="s">
        <v>134</v>
      </c>
      <c r="F5" s="8" t="s">
        <v>99</v>
      </c>
      <c r="G5" s="8" t="s">
        <v>91</v>
      </c>
      <c r="H5" s="8" t="s">
        <v>103</v>
      </c>
      <c r="I5" s="8" t="s">
        <v>135</v>
      </c>
      <c r="J5" s="8" t="s">
        <v>136</v>
      </c>
      <c r="K5" s="8" t="s">
        <v>137</v>
      </c>
    </row>
    <row r="6" spans="1:11" x14ac:dyDescent="0.25">
      <c r="A6" s="8" t="s">
        <v>108</v>
      </c>
      <c r="B6" s="8" t="s">
        <v>6</v>
      </c>
      <c r="C6" s="23">
        <v>1850</v>
      </c>
      <c r="D6" s="8" t="s">
        <v>85</v>
      </c>
      <c r="E6" s="8">
        <v>5</v>
      </c>
      <c r="F6" s="8" t="s">
        <v>80</v>
      </c>
      <c r="G6" s="8" t="s">
        <v>92</v>
      </c>
      <c r="H6" s="8"/>
      <c r="I6" s="23" cm="1">
        <f t="array" ref="I6">IF(tblRecurring[[#This Row],[Status]]="Inactive",0,_xlfn.SWITCH(tblRecurring[[#This Row],[Frequency]],"Weekly",tblRecurring[[#This Row],[Amount]]*52/12,"Biweekly",tblRecurring[[#This Row],[Amount]]*26/12,"Monthly",tblRecurring[[#This Row],[Amount]],"Quarterly",tblRecurring[[#This Row],[Amount]]/3,"Semiannual",tblRecurring[[#This Row],[Amount]]/6,"Annual",tblRecurring[[#This Row],[Amount]]/12,0))</f>
        <v>1850</v>
      </c>
      <c r="J6" s="23">
        <f>tblRecurring[[#This Row],[Monthly Equivalent]]*12</f>
        <v>22200</v>
      </c>
      <c r="K6" s="22">
        <f ca="1">IF(tblRecurring[[#This Row],[Status]]="Inactive","",DATE(YEAR(TODAY()),MONTH(TODAY())+(DAY(TODAY())&gt;tblRecurring[[#This Row],[Due Day]]),tblRecurring[[#This Row],[Due Day]]))</f>
        <v>46300</v>
      </c>
    </row>
    <row r="7" spans="1:11" x14ac:dyDescent="0.25">
      <c r="A7" s="8" t="s">
        <v>16</v>
      </c>
      <c r="B7" s="8" t="s">
        <v>13</v>
      </c>
      <c r="C7" s="23">
        <v>70</v>
      </c>
      <c r="D7" s="8" t="s">
        <v>85</v>
      </c>
      <c r="E7" s="8">
        <v>12</v>
      </c>
      <c r="F7" s="8" t="s">
        <v>80</v>
      </c>
      <c r="G7" s="8" t="s">
        <v>92</v>
      </c>
      <c r="H7" s="8"/>
      <c r="I7" s="23" cm="1">
        <f t="array" ref="I7">IF(tblRecurring[[#This Row],[Status]]="Inactive",0,_xlfn.SWITCH(tblRecurring[[#This Row],[Frequency]],"Weekly",tblRecurring[[#This Row],[Amount]]*52/12,"Biweekly",tblRecurring[[#This Row],[Amount]]*26/12,"Monthly",tblRecurring[[#This Row],[Amount]],"Quarterly",tblRecurring[[#This Row],[Amount]]/3,"Semiannual",tblRecurring[[#This Row],[Amount]]/6,"Annual",tblRecurring[[#This Row],[Amount]]/12,0))</f>
        <v>70</v>
      </c>
      <c r="J7" s="23">
        <f>tblRecurring[[#This Row],[Monthly Equivalent]]*12</f>
        <v>840</v>
      </c>
      <c r="K7" s="22">
        <f ca="1">IF(tblRecurring[[#This Row],[Status]]="Inactive","",DATE(YEAR(TODAY()),MONTH(TODAY())+(DAY(TODAY())&gt;tblRecurring[[#This Row],[Due Day]]),tblRecurring[[#This Row],[Due Day]]))</f>
        <v>46307</v>
      </c>
    </row>
    <row r="8" spans="1:11" x14ac:dyDescent="0.25">
      <c r="A8" s="8" t="s">
        <v>122</v>
      </c>
      <c r="B8" s="8" t="s">
        <v>39</v>
      </c>
      <c r="C8" s="23">
        <v>55</v>
      </c>
      <c r="D8" s="8" t="s">
        <v>85</v>
      </c>
      <c r="E8" s="8">
        <v>18</v>
      </c>
      <c r="F8" s="8" t="s">
        <v>70</v>
      </c>
      <c r="G8" s="8" t="s">
        <v>92</v>
      </c>
      <c r="H8" s="8"/>
      <c r="I8" s="23" cm="1">
        <f t="array" ref="I8">IF(tblRecurring[[#This Row],[Status]]="Inactive",0,_xlfn.SWITCH(tblRecurring[[#This Row],[Frequency]],"Weekly",tblRecurring[[#This Row],[Amount]]*52/12,"Biweekly",tblRecurring[[#This Row],[Amount]]*26/12,"Monthly",tblRecurring[[#This Row],[Amount]],"Quarterly",tblRecurring[[#This Row],[Amount]]/3,"Semiannual",tblRecurring[[#This Row],[Amount]]/6,"Annual",tblRecurring[[#This Row],[Amount]]/12,0))</f>
        <v>55</v>
      </c>
      <c r="J8" s="23">
        <f>tblRecurring[[#This Row],[Monthly Equivalent]]*12</f>
        <v>660</v>
      </c>
      <c r="K8" s="22">
        <f ca="1">IF(tblRecurring[[#This Row],[Status]]="Inactive","",DATE(YEAR(TODAY()),MONTH(TODAY())+(DAY(TODAY())&gt;tblRecurring[[#This Row],[Due Day]]),tblRecurring[[#This Row],[Due Day]]))</f>
        <v>46313</v>
      </c>
    </row>
    <row r="9" spans="1:11" x14ac:dyDescent="0.25">
      <c r="A9" s="8" t="s">
        <v>138</v>
      </c>
      <c r="B9" s="8" t="s">
        <v>33</v>
      </c>
      <c r="C9" s="23">
        <v>720</v>
      </c>
      <c r="D9" s="8" t="s">
        <v>88</v>
      </c>
      <c r="E9" s="8">
        <v>15</v>
      </c>
      <c r="F9" s="8" t="s">
        <v>80</v>
      </c>
      <c r="G9" s="8" t="s">
        <v>92</v>
      </c>
      <c r="H9" s="8" t="s">
        <v>139</v>
      </c>
      <c r="I9" s="23" cm="1">
        <f t="array" ref="I9">IF(tblRecurring[[#This Row],[Status]]="Inactive",0,_xlfn.SWITCH(tblRecurring[[#This Row],[Frequency]],"Weekly",tblRecurring[[#This Row],[Amount]]*52/12,"Biweekly",tblRecurring[[#This Row],[Amount]]*26/12,"Monthly",tblRecurring[[#This Row],[Amount]],"Quarterly",tblRecurring[[#This Row],[Amount]]/3,"Semiannual",tblRecurring[[#This Row],[Amount]]/6,"Annual",tblRecurring[[#This Row],[Amount]]/12,0))</f>
        <v>60</v>
      </c>
      <c r="J9" s="23">
        <f>tblRecurring[[#This Row],[Monthly Equivalent]]*12</f>
        <v>720</v>
      </c>
      <c r="K9" s="22">
        <f ca="1">IF(tblRecurring[[#This Row],[Status]]="Inactive","",DATE(YEAR(TODAY()),MONTH(TODAY())+(DAY(TODAY())&gt;tblRecurring[[#This Row],[Due Day]]),tblRecurring[[#This Row],[Due Day]]))</f>
        <v>46310</v>
      </c>
    </row>
    <row r="10" spans="1:11" x14ac:dyDescent="0.25">
      <c r="A10" s="8" t="s">
        <v>140</v>
      </c>
      <c r="B10" s="8" t="s">
        <v>48</v>
      </c>
      <c r="C10" s="23">
        <v>90</v>
      </c>
      <c r="D10" s="8" t="s">
        <v>85</v>
      </c>
      <c r="E10" s="8">
        <v>22</v>
      </c>
      <c r="F10" s="8" t="s">
        <v>70</v>
      </c>
      <c r="G10" s="8" t="s">
        <v>92</v>
      </c>
      <c r="H10" s="8"/>
      <c r="I10" s="23" cm="1">
        <f t="array" ref="I10">IF(tblRecurring[[#This Row],[Status]]="Inactive",0,_xlfn.SWITCH(tblRecurring[[#This Row],[Frequency]],"Weekly",tblRecurring[[#This Row],[Amount]]*52/12,"Biweekly",tblRecurring[[#This Row],[Amount]]*26/12,"Monthly",tblRecurring[[#This Row],[Amount]],"Quarterly",tblRecurring[[#This Row],[Amount]]/3,"Semiannual",tblRecurring[[#This Row],[Amount]]/6,"Annual",tblRecurring[[#This Row],[Amount]]/12,0))</f>
        <v>90</v>
      </c>
      <c r="J10" s="23">
        <f>tblRecurring[[#This Row],[Monthly Equivalent]]*12</f>
        <v>1080</v>
      </c>
      <c r="K10" s="22">
        <f ca="1">IF(tblRecurring[[#This Row],[Status]]="Inactive","",DATE(YEAR(TODAY()),MONTH(TODAY())+(DAY(TODAY())&gt;tblRecurring[[#This Row],[Due Day]]),tblRecurring[[#This Row],[Due Day]]))</f>
        <v>46317</v>
      </c>
    </row>
  </sheetData>
  <mergeCells count="1">
    <mergeCell ref="A1:K1"/>
  </mergeCells>
  <pageMargins left="0.7" right="0.7" top="0.75" bottom="0.75" header="0.3" footer="0.3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77F8A86E-7088-4D3A-9664-A8DDDEDD1631}">
          <x14:formula1>
            <xm:f>Categories!$A$5:$A$37</xm:f>
          </x14:formula1>
          <xm:sqref>B6:B500</xm:sqref>
        </x14:dataValidation>
        <x14:dataValidation type="list" allowBlank="1" showInputMessage="1" showErrorMessage="1" xr:uid="{EC0C9F84-8D6C-47E4-BBBC-6B1AB0843173}">
          <x14:formula1>
            <xm:f>Categories!$L$5:$L$10</xm:f>
          </x14:formula1>
          <xm:sqref>D6:D500</xm:sqref>
        </x14:dataValidation>
        <x14:dataValidation type="list" allowBlank="1" showInputMessage="1" showErrorMessage="1" xr:uid="{8090106F-C929-44AA-934C-7E176B2DD829}">
          <x14:formula1>
            <xm:f>Categories!$G$5:$G$9</xm:f>
          </x14:formula1>
          <xm:sqref>F6:F500</xm:sqref>
        </x14:dataValidation>
        <x14:dataValidation type="list" allowBlank="1" showInputMessage="1" showErrorMessage="1" xr:uid="{344B51A7-A647-47D1-9F7F-CADCE544DC77}">
          <x14:formula1>
            <xm:f>Categories!$M$5:$M$6</xm:f>
          </x14:formula1>
          <xm:sqref>G6:G500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9D5DE7-D459-4CE3-B050-B408BE80807B}">
  <dimension ref="A1:H9"/>
  <sheetViews>
    <sheetView showGridLines="0" workbookViewId="0">
      <pane ySplit="4" topLeftCell="A5" activePane="bottomLeft" state="frozen"/>
      <selection pane="bottomLeft" sqref="A1:H1"/>
    </sheetView>
  </sheetViews>
  <sheetFormatPr defaultRowHeight="15" x14ac:dyDescent="0.25"/>
  <cols>
    <col min="1" max="1" width="23.85546875" customWidth="1"/>
    <col min="2" max="2" width="17.7109375" bestFit="1" customWidth="1"/>
    <col min="3" max="3" width="19.28515625" bestFit="1" customWidth="1"/>
    <col min="4" max="4" width="14.42578125" bestFit="1" customWidth="1"/>
    <col min="5" max="5" width="24.7109375" bestFit="1" customWidth="1"/>
    <col min="6" max="6" width="22.140625" bestFit="1" customWidth="1"/>
    <col min="7" max="7" width="14.42578125" bestFit="1" customWidth="1"/>
    <col min="8" max="8" width="16.140625" bestFit="1" customWidth="1"/>
  </cols>
  <sheetData>
    <row r="1" spans="1:8" ht="26.25" x14ac:dyDescent="0.25">
      <c r="A1" s="20" t="s">
        <v>141</v>
      </c>
      <c r="B1" s="20"/>
      <c r="C1" s="20"/>
      <c r="D1" s="20"/>
      <c r="E1" s="20"/>
      <c r="F1" s="20"/>
      <c r="G1" s="20"/>
      <c r="H1" s="20"/>
    </row>
    <row r="2" spans="1:8" x14ac:dyDescent="0.25">
      <c r="A2" s="33" t="s">
        <v>142</v>
      </c>
      <c r="B2" s="33"/>
      <c r="C2" s="33"/>
      <c r="D2" s="33"/>
      <c r="E2" s="33"/>
      <c r="F2" s="33"/>
      <c r="G2" s="33"/>
      <c r="H2" s="33"/>
    </row>
    <row r="3" spans="1:8" x14ac:dyDescent="0.25">
      <c r="A3" s="8"/>
      <c r="B3" s="8"/>
      <c r="C3" s="8"/>
      <c r="D3" s="8"/>
      <c r="E3" s="8"/>
      <c r="F3" s="8"/>
      <c r="G3" s="8"/>
      <c r="H3" s="8"/>
    </row>
    <row r="4" spans="1:8" x14ac:dyDescent="0.25">
      <c r="A4" s="8" t="s">
        <v>143</v>
      </c>
      <c r="B4" s="8" t="s">
        <v>144</v>
      </c>
      <c r="C4" s="8" t="s">
        <v>145</v>
      </c>
      <c r="D4" s="8" t="s">
        <v>146</v>
      </c>
      <c r="E4" s="8" t="s">
        <v>147</v>
      </c>
      <c r="F4" s="8" t="s">
        <v>148</v>
      </c>
      <c r="G4" s="8" t="s">
        <v>149</v>
      </c>
      <c r="H4" s="8" t="s">
        <v>91</v>
      </c>
    </row>
    <row r="5" spans="1:8" x14ac:dyDescent="0.25">
      <c r="A5" s="8" t="s">
        <v>150</v>
      </c>
      <c r="B5" s="23">
        <v>15000</v>
      </c>
      <c r="C5" s="23">
        <v>8500</v>
      </c>
      <c r="D5" s="22">
        <v>46630</v>
      </c>
      <c r="E5" s="23">
        <v>500</v>
      </c>
      <c r="F5" s="23">
        <f>MAX(0,tblGoals[[#This Row],[Target Amount]]-tblGoals[[#This Row],[Current Amount]])</f>
        <v>6500</v>
      </c>
      <c r="G5" s="29">
        <f>IFERROR(tblGoals[[#This Row],[Current Amount]]/tblGoals[[#This Row],[Target Amount]],0)</f>
        <v>0.56666666666666665</v>
      </c>
      <c r="H5" s="8" t="str">
        <f ca="1">IF(tblGoals[[#This Row],[Progress %]]&gt;=1,"Complete",IF(tblGoals[[#This Row],[Monthly Contribution]]&lt;=0,"No contribution",IF(EDATE(TODAY(),ROUNDUP(tblGoals[[#This Row],[Remaining Amount]]/tblGoals[[#This Row],[Monthly Contribution]],0))&lt;=tblGoals[[#This Row],[Target Date]],"On Track","Needs Attention")))</f>
        <v>Needs Attention</v>
      </c>
    </row>
    <row r="6" spans="1:8" x14ac:dyDescent="0.25">
      <c r="A6" s="8" t="s">
        <v>151</v>
      </c>
      <c r="B6" s="23">
        <v>5000</v>
      </c>
      <c r="C6" s="23">
        <v>2750</v>
      </c>
      <c r="D6" s="22">
        <v>46538</v>
      </c>
      <c r="E6" s="23">
        <v>350</v>
      </c>
      <c r="F6" s="23">
        <f>MAX(0,tblGoals[[#This Row],[Target Amount]]-tblGoals[[#This Row],[Current Amount]])</f>
        <v>2250</v>
      </c>
      <c r="G6" s="29">
        <f>IFERROR(tblGoals[[#This Row],[Current Amount]]/tblGoals[[#This Row],[Target Amount]],0)</f>
        <v>0.55000000000000004</v>
      </c>
      <c r="H6" s="8" t="str">
        <f ca="1">IF(tblGoals[[#This Row],[Progress %]]&gt;=1,"Complete",IF(tblGoals[[#This Row],[Monthly Contribution]]&lt;=0,"No contribution",IF(EDATE(TODAY(),ROUNDUP(tblGoals[[#This Row],[Remaining Amount]]/tblGoals[[#This Row],[Monthly Contribution]],0))&lt;=tblGoals[[#This Row],[Target Date]],"On Track","Needs Attention")))</f>
        <v>On Track</v>
      </c>
    </row>
    <row r="7" spans="1:8" x14ac:dyDescent="0.25">
      <c r="A7" s="8" t="s">
        <v>152</v>
      </c>
      <c r="B7" s="23">
        <v>25000</v>
      </c>
      <c r="C7" s="23">
        <v>6000</v>
      </c>
      <c r="D7" s="22">
        <v>47269</v>
      </c>
      <c r="E7" s="23">
        <v>400</v>
      </c>
      <c r="F7" s="23">
        <f>MAX(0,tblGoals[[#This Row],[Target Amount]]-tblGoals[[#This Row],[Current Amount]])</f>
        <v>19000</v>
      </c>
      <c r="G7" s="29">
        <f>IFERROR(tblGoals[[#This Row],[Current Amount]]/tblGoals[[#This Row],[Target Amount]],0)</f>
        <v>0.24</v>
      </c>
      <c r="H7" s="8" t="str">
        <f ca="1">IF(tblGoals[[#This Row],[Progress %]]&gt;=1,"Complete",IF(tblGoals[[#This Row],[Monthly Contribution]]&lt;=0,"No contribution",IF(EDATE(TODAY(),ROUNDUP(tblGoals[[#This Row],[Remaining Amount]]/tblGoals[[#This Row],[Monthly Contribution]],0))&lt;=tblGoals[[#This Row],[Target Date]],"On Track","Needs Attention")))</f>
        <v>Needs Attention</v>
      </c>
    </row>
    <row r="8" spans="1:8" x14ac:dyDescent="0.25">
      <c r="A8" s="8" t="s">
        <v>153</v>
      </c>
      <c r="B8" s="23">
        <v>18000</v>
      </c>
      <c r="C8" s="23">
        <v>4200</v>
      </c>
      <c r="D8" s="22">
        <v>47026</v>
      </c>
      <c r="E8" s="23">
        <v>300</v>
      </c>
      <c r="F8" s="23">
        <f>MAX(0,tblGoals[[#This Row],[Target Amount]]-tblGoals[[#This Row],[Current Amount]])</f>
        <v>13800</v>
      </c>
      <c r="G8" s="29">
        <f>IFERROR(tblGoals[[#This Row],[Current Amount]]/tblGoals[[#This Row],[Target Amount]],0)</f>
        <v>0.23333333333333334</v>
      </c>
      <c r="H8" s="8" t="str">
        <f ca="1">IF(tblGoals[[#This Row],[Progress %]]&gt;=1,"Complete",IF(tblGoals[[#This Row],[Monthly Contribution]]&lt;=0,"No contribution",IF(EDATE(TODAY(),ROUNDUP(tblGoals[[#This Row],[Remaining Amount]]/tblGoals[[#This Row],[Monthly Contribution]],0))&lt;=tblGoals[[#This Row],[Target Date]],"On Track","Needs Attention")))</f>
        <v>Needs Attention</v>
      </c>
    </row>
    <row r="9" spans="1:8" x14ac:dyDescent="0.25">
      <c r="A9" s="8" t="s">
        <v>154</v>
      </c>
      <c r="B9" s="23">
        <v>10000</v>
      </c>
      <c r="C9" s="23">
        <v>3900</v>
      </c>
      <c r="D9" s="22">
        <v>46752</v>
      </c>
      <c r="E9" s="23">
        <v>250</v>
      </c>
      <c r="F9" s="23">
        <f>MAX(0,tblGoals[[#This Row],[Target Amount]]-tblGoals[[#This Row],[Current Amount]])</f>
        <v>6100</v>
      </c>
      <c r="G9" s="29">
        <f>IFERROR(tblGoals[[#This Row],[Current Amount]]/tblGoals[[#This Row],[Target Amount]],0)</f>
        <v>0.39</v>
      </c>
      <c r="H9" s="8" t="str">
        <f ca="1">IF(tblGoals[[#This Row],[Progress %]]&gt;=1,"Complete",IF(tblGoals[[#This Row],[Monthly Contribution]]&lt;=0,"No contribution",IF(EDATE(TODAY(),ROUNDUP(tblGoals[[#This Row],[Remaining Amount]]/tblGoals[[#This Row],[Monthly Contribution]],0))&lt;=tblGoals[[#This Row],[Target Date]],"On Track","Needs Attention")))</f>
        <v>Needs Attention</v>
      </c>
    </row>
  </sheetData>
  <mergeCells count="2">
    <mergeCell ref="A1:H1"/>
    <mergeCell ref="A2:H2"/>
  </mergeCells>
  <conditionalFormatting sqref="G5:G9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{FA0D6792-99C8-438F-B2D5-056E4734A16A}</x14:id>
        </ext>
      </extLst>
    </cfRule>
  </conditionalFormatting>
  <conditionalFormatting sqref="H5:H9">
    <cfRule type="expression" dxfId="60" priority="2">
      <formula>$H5="Needs Attention"</formula>
    </cfRule>
  </conditionalFormatting>
  <pageMargins left="0.7" right="0.7" top="0.75" bottom="0.75" header="0.3" footer="0.3"/>
  <tableParts count="1">
    <tablePart r:id="rId1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FA0D6792-99C8-438F-B2D5-056E4734A16A}">
            <x14:dataBar minLength="0" maxLength="100" negativeBarColorSameAsPositive="1" axisPosition="none">
              <x14:cfvo type="min"/>
              <x14:cfvo type="max"/>
            </x14:dataBar>
          </x14:cfRule>
          <xm:sqref>G5:G9</xm:sqref>
        </x14:conditionalFormatting>
      </x14:conditionalFormatting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5F996F-62EE-4983-8853-9CE16CA75605}">
  <dimension ref="A1:G18"/>
  <sheetViews>
    <sheetView showGridLines="0" workbookViewId="0">
      <selection sqref="A1:G1"/>
    </sheetView>
  </sheetViews>
  <sheetFormatPr defaultRowHeight="15" x14ac:dyDescent="0.25"/>
  <cols>
    <col min="1" max="1" width="13.140625" bestFit="1" customWidth="1"/>
    <col min="2" max="2" width="16" bestFit="1" customWidth="1"/>
    <col min="3" max="3" width="18.140625" bestFit="1" customWidth="1"/>
    <col min="4" max="4" width="11.28515625" bestFit="1" customWidth="1"/>
    <col min="5" max="5" width="15.85546875" bestFit="1" customWidth="1"/>
    <col min="6" max="6" width="11.28515625" bestFit="1" customWidth="1"/>
    <col min="7" max="7" width="19.28515625" bestFit="1" customWidth="1"/>
  </cols>
  <sheetData>
    <row r="1" spans="1:7" ht="26.25" x14ac:dyDescent="0.25">
      <c r="A1" s="20" t="s">
        <v>155</v>
      </c>
      <c r="B1" s="20"/>
      <c r="C1" s="20"/>
      <c r="D1" s="20"/>
      <c r="E1" s="20"/>
      <c r="F1" s="20"/>
      <c r="G1" s="20"/>
    </row>
    <row r="2" spans="1:7" x14ac:dyDescent="0.25">
      <c r="A2" s="27" t="s">
        <v>156</v>
      </c>
      <c r="B2" s="31">
        <v>2026</v>
      </c>
      <c r="C2" s="8"/>
      <c r="D2" s="8"/>
      <c r="E2" s="8"/>
      <c r="F2" s="8"/>
      <c r="G2" s="8"/>
    </row>
    <row r="3" spans="1:7" x14ac:dyDescent="0.25">
      <c r="A3" s="8"/>
      <c r="B3" s="8"/>
      <c r="C3" s="8"/>
      <c r="D3" s="8"/>
      <c r="E3" s="8"/>
      <c r="F3" s="8"/>
      <c r="G3" s="8"/>
    </row>
    <row r="4" spans="1:7" x14ac:dyDescent="0.25">
      <c r="A4" s="8" t="s">
        <v>104</v>
      </c>
      <c r="B4" s="8" t="s">
        <v>157</v>
      </c>
      <c r="C4" s="8" t="s">
        <v>158</v>
      </c>
      <c r="D4" s="8" t="s">
        <v>159</v>
      </c>
      <c r="E4" s="8" t="s">
        <v>160</v>
      </c>
      <c r="F4" s="8" t="s">
        <v>161</v>
      </c>
      <c r="G4" s="8" t="s">
        <v>162</v>
      </c>
    </row>
    <row r="5" spans="1:7" x14ac:dyDescent="0.25">
      <c r="A5" s="34">
        <f>DATE($B$2,1,1)</f>
        <v>46023</v>
      </c>
      <c r="B5" s="23">
        <f>SUMIFS(tblTransactions[Amount],tblTransactions[Type],"Income",tblTransactions[Date],"&gt;="&amp;A5,tblTransactions[Date],"&lt;"&amp;EDATE(A5,1))</f>
        <v>7800</v>
      </c>
      <c r="C5" s="23">
        <f>SUMIFS(tblTransactions[Amount],tblTransactions[Type],"Expense",tblTransactions[Date],"&gt;="&amp;A5,tblTransactions[Date],"&lt;"&amp;EDATE(A5,1))</f>
        <v>2390</v>
      </c>
      <c r="D5" s="23">
        <f>B5-C5</f>
        <v>5410</v>
      </c>
      <c r="E5" s="29">
        <f>IFERROR(D5/B5,0)</f>
        <v>0.69358974358974357</v>
      </c>
      <c r="F5" s="23">
        <f>SUM(tblBudget[Monthly Budget])</f>
        <v>6000</v>
      </c>
      <c r="G5" s="23">
        <f>F5-C5</f>
        <v>3610</v>
      </c>
    </row>
    <row r="6" spans="1:7" x14ac:dyDescent="0.25">
      <c r="A6" s="34">
        <f>DATE($B$2,2,1)</f>
        <v>46054</v>
      </c>
      <c r="B6" s="23">
        <f>SUMIFS(tblTransactions[Amount],tblTransactions[Type],"Income",tblTransactions[Date],"&gt;="&amp;A6,tblTransactions[Date],"&lt;"&amp;EDATE(A6,1))</f>
        <v>7800</v>
      </c>
      <c r="C6" s="23">
        <f>SUMIFS(tblTransactions[Amount],tblTransactions[Type],"Expense",tblTransactions[Date],"&gt;="&amp;A6,tblTransactions[Date],"&lt;"&amp;EDATE(A6,1))</f>
        <v>2070</v>
      </c>
      <c r="D6" s="23">
        <f>B6-C6</f>
        <v>5730</v>
      </c>
      <c r="E6" s="29">
        <f>IFERROR(D6/B6,0)</f>
        <v>0.73461538461538467</v>
      </c>
      <c r="F6" s="23">
        <f>SUM(tblBudget[Monthly Budget])</f>
        <v>6000</v>
      </c>
      <c r="G6" s="23">
        <f>F6-C6</f>
        <v>3930</v>
      </c>
    </row>
    <row r="7" spans="1:7" x14ac:dyDescent="0.25">
      <c r="A7" s="34">
        <f>DATE($B$2,3,1)</f>
        <v>46082</v>
      </c>
      <c r="B7" s="23">
        <f>SUMIFS(tblTransactions[Amount],tblTransactions[Type],"Income",tblTransactions[Date],"&gt;="&amp;A7,tblTransactions[Date],"&lt;"&amp;EDATE(A7,1))</f>
        <v>7800</v>
      </c>
      <c r="C7" s="23">
        <f>SUMIFS(tblTransactions[Amount],tblTransactions[Type],"Expense",tblTransactions[Date],"&gt;="&amp;A7,tblTransactions[Date],"&lt;"&amp;EDATE(A7,1))</f>
        <v>2800</v>
      </c>
      <c r="D7" s="23">
        <f>B7-C7</f>
        <v>5000</v>
      </c>
      <c r="E7" s="29">
        <f>IFERROR(D7/B7,0)</f>
        <v>0.64102564102564108</v>
      </c>
      <c r="F7" s="23">
        <f>SUM(tblBudget[Monthly Budget])</f>
        <v>6000</v>
      </c>
      <c r="G7" s="23">
        <f>F7-C7</f>
        <v>3200</v>
      </c>
    </row>
    <row r="8" spans="1:7" x14ac:dyDescent="0.25">
      <c r="A8" s="34">
        <f>DATE($B$2,4,1)</f>
        <v>46113</v>
      </c>
      <c r="B8" s="23">
        <f>SUMIFS(tblTransactions[Amount],tblTransactions[Type],"Income",tblTransactions[Date],"&gt;="&amp;A8,tblTransactions[Date],"&lt;"&amp;EDATE(A8,1))</f>
        <v>7800</v>
      </c>
      <c r="C8" s="23">
        <f>SUMIFS(tblTransactions[Amount],tblTransactions[Type],"Expense",tblTransactions[Date],"&gt;="&amp;A8,tblTransactions[Date],"&lt;"&amp;EDATE(A8,1))</f>
        <v>2460</v>
      </c>
      <c r="D8" s="23">
        <f>B8-C8</f>
        <v>5340</v>
      </c>
      <c r="E8" s="29">
        <f>IFERROR(D8/B8,0)</f>
        <v>0.68461538461538463</v>
      </c>
      <c r="F8" s="23">
        <f>SUM(tblBudget[Monthly Budget])</f>
        <v>6000</v>
      </c>
      <c r="G8" s="23">
        <f>F8-C8</f>
        <v>3540</v>
      </c>
    </row>
    <row r="9" spans="1:7" x14ac:dyDescent="0.25">
      <c r="A9" s="34">
        <f>DATE($B$2,5,1)</f>
        <v>46143</v>
      </c>
      <c r="B9" s="23">
        <f>SUMIFS(tblTransactions[Amount],tblTransactions[Type],"Income",tblTransactions[Date],"&gt;="&amp;A9,tblTransactions[Date],"&lt;"&amp;EDATE(A9,1))</f>
        <v>7800</v>
      </c>
      <c r="C9" s="23">
        <f>SUMIFS(tblTransactions[Amount],tblTransactions[Type],"Expense",tblTransactions[Date],"&gt;="&amp;A9,tblTransactions[Date],"&lt;"&amp;EDATE(A9,1))</f>
        <v>2630</v>
      </c>
      <c r="D9" s="23">
        <f>B9-C9</f>
        <v>5170</v>
      </c>
      <c r="E9" s="29">
        <f>IFERROR(D9/B9,0)</f>
        <v>0.6628205128205128</v>
      </c>
      <c r="F9" s="23">
        <f>SUM(tblBudget[Monthly Budget])</f>
        <v>6000</v>
      </c>
      <c r="G9" s="23">
        <f>F9-C9</f>
        <v>3370</v>
      </c>
    </row>
    <row r="10" spans="1:7" x14ac:dyDescent="0.25">
      <c r="A10" s="34">
        <f>DATE($B$2,6,1)</f>
        <v>46174</v>
      </c>
      <c r="B10" s="23">
        <f>SUMIFS(tblTransactions[Amount],tblTransactions[Type],"Income",tblTransactions[Date],"&gt;="&amp;A10,tblTransactions[Date],"&lt;"&amp;EDATE(A10,1))</f>
        <v>7800</v>
      </c>
      <c r="C10" s="23">
        <f>SUMIFS(tblTransactions[Amount],tblTransactions[Type],"Expense",tblTransactions[Date],"&gt;="&amp;A10,tblTransactions[Date],"&lt;"&amp;EDATE(A10,1))</f>
        <v>2280</v>
      </c>
      <c r="D10" s="23">
        <f>B10-C10</f>
        <v>5520</v>
      </c>
      <c r="E10" s="29">
        <f>IFERROR(D10/B10,0)</f>
        <v>0.70769230769230773</v>
      </c>
      <c r="F10" s="23">
        <f>SUM(tblBudget[Monthly Budget])</f>
        <v>6000</v>
      </c>
      <c r="G10" s="23">
        <f>F10-C10</f>
        <v>3720</v>
      </c>
    </row>
    <row r="11" spans="1:7" x14ac:dyDescent="0.25">
      <c r="A11" s="34">
        <f>DATE($B$2,7,1)</f>
        <v>46204</v>
      </c>
      <c r="B11" s="23">
        <f>SUMIFS(tblTransactions[Amount],tblTransactions[Type],"Income",tblTransactions[Date],"&gt;="&amp;A11,tblTransactions[Date],"&lt;"&amp;EDATE(A11,1))</f>
        <v>7800</v>
      </c>
      <c r="C11" s="23">
        <f>SUMIFS(tblTransactions[Amount],tblTransactions[Type],"Expense",tblTransactions[Date],"&gt;="&amp;A11,tblTransactions[Date],"&lt;"&amp;EDATE(A11,1))</f>
        <v>3100</v>
      </c>
      <c r="D11" s="23">
        <f>B11-C11</f>
        <v>4700</v>
      </c>
      <c r="E11" s="29">
        <f>IFERROR(D11/B11,0)</f>
        <v>0.60256410256410253</v>
      </c>
      <c r="F11" s="23">
        <f>SUM(tblBudget[Monthly Budget])</f>
        <v>6000</v>
      </c>
      <c r="G11" s="23">
        <f>F11-C11</f>
        <v>2900</v>
      </c>
    </row>
    <row r="12" spans="1:7" x14ac:dyDescent="0.25">
      <c r="A12" s="34">
        <f>DATE($B$2,8,1)</f>
        <v>46235</v>
      </c>
      <c r="B12" s="23">
        <f>SUMIFS(tblTransactions[Amount],tblTransactions[Type],"Income",tblTransactions[Date],"&gt;="&amp;A12,tblTransactions[Date],"&lt;"&amp;EDATE(A12,1))</f>
        <v>7800</v>
      </c>
      <c r="C12" s="23">
        <f>SUMIFS(tblTransactions[Amount],tblTransactions[Type],"Expense",tblTransactions[Date],"&gt;="&amp;A12,tblTransactions[Date],"&lt;"&amp;EDATE(A12,1))</f>
        <v>2540</v>
      </c>
      <c r="D12" s="23">
        <f>B12-C12</f>
        <v>5260</v>
      </c>
      <c r="E12" s="29">
        <f>IFERROR(D12/B12,0)</f>
        <v>0.67435897435897441</v>
      </c>
      <c r="F12" s="23">
        <f>SUM(tblBudget[Monthly Budget])</f>
        <v>6000</v>
      </c>
      <c r="G12" s="23">
        <f>F12-C12</f>
        <v>3460</v>
      </c>
    </row>
    <row r="13" spans="1:7" x14ac:dyDescent="0.25">
      <c r="A13" s="34">
        <f>DATE($B$2,9,1)</f>
        <v>46266</v>
      </c>
      <c r="B13" s="23">
        <f>SUMIFS(tblTransactions[Amount],tblTransactions[Type],"Income",tblTransactions[Date],"&gt;="&amp;A13,tblTransactions[Date],"&lt;"&amp;EDATE(A13,1))</f>
        <v>7800</v>
      </c>
      <c r="C13" s="23">
        <f>SUMIFS(tblTransactions[Amount],tblTransactions[Type],"Expense",tblTransactions[Date],"&gt;="&amp;A13,tblTransactions[Date],"&lt;"&amp;EDATE(A13,1))</f>
        <v>3465</v>
      </c>
      <c r="D13" s="23">
        <f>B13-C13</f>
        <v>4335</v>
      </c>
      <c r="E13" s="29">
        <f>IFERROR(D13/B13,0)</f>
        <v>0.55576923076923079</v>
      </c>
      <c r="F13" s="23">
        <f>SUM(tblBudget[Monthly Budget])</f>
        <v>6000</v>
      </c>
      <c r="G13" s="23">
        <f>F13-C13</f>
        <v>2535</v>
      </c>
    </row>
    <row r="14" spans="1:7" x14ac:dyDescent="0.25">
      <c r="A14" s="34">
        <f>DATE($B$2,10,1)</f>
        <v>46296</v>
      </c>
      <c r="B14" s="23">
        <f>SUMIFS(tblTransactions[Amount],tblTransactions[Type],"Income",tblTransactions[Date],"&gt;="&amp;A14,tblTransactions[Date],"&lt;"&amp;EDATE(A14,1))</f>
        <v>0</v>
      </c>
      <c r="C14" s="23">
        <f>SUMIFS(tblTransactions[Amount],tblTransactions[Type],"Expense",tblTransactions[Date],"&gt;="&amp;A14,tblTransactions[Date],"&lt;"&amp;EDATE(A14,1))</f>
        <v>0</v>
      </c>
      <c r="D14" s="23">
        <f>B14-C14</f>
        <v>0</v>
      </c>
      <c r="E14" s="29">
        <f>IFERROR(D14/B14,0)</f>
        <v>0</v>
      </c>
      <c r="F14" s="23">
        <f>SUM(tblBudget[Monthly Budget])</f>
        <v>6000</v>
      </c>
      <c r="G14" s="23">
        <f>F14-C14</f>
        <v>6000</v>
      </c>
    </row>
    <row r="15" spans="1:7" x14ac:dyDescent="0.25">
      <c r="A15" s="34">
        <f>DATE($B$2,11,1)</f>
        <v>46327</v>
      </c>
      <c r="B15" s="23">
        <f>SUMIFS(tblTransactions[Amount],tblTransactions[Type],"Income",tblTransactions[Date],"&gt;="&amp;A15,tblTransactions[Date],"&lt;"&amp;EDATE(A15,1))</f>
        <v>0</v>
      </c>
      <c r="C15" s="23">
        <f>SUMIFS(tblTransactions[Amount],tblTransactions[Type],"Expense",tblTransactions[Date],"&gt;="&amp;A15,tblTransactions[Date],"&lt;"&amp;EDATE(A15,1))</f>
        <v>0</v>
      </c>
      <c r="D15" s="23">
        <f>B15-C15</f>
        <v>0</v>
      </c>
      <c r="E15" s="29">
        <f>IFERROR(D15/B15,0)</f>
        <v>0</v>
      </c>
      <c r="F15" s="23">
        <f>SUM(tblBudget[Monthly Budget])</f>
        <v>6000</v>
      </c>
      <c r="G15" s="23">
        <f>F15-C15</f>
        <v>6000</v>
      </c>
    </row>
    <row r="16" spans="1:7" x14ac:dyDescent="0.25">
      <c r="A16" s="34">
        <f>DATE($B$2,12,1)</f>
        <v>46357</v>
      </c>
      <c r="B16" s="23">
        <f>SUMIFS(tblTransactions[Amount],tblTransactions[Type],"Income",tblTransactions[Date],"&gt;="&amp;A16,tblTransactions[Date],"&lt;"&amp;EDATE(A16,1))</f>
        <v>0</v>
      </c>
      <c r="C16" s="23">
        <f>SUMIFS(tblTransactions[Amount],tblTransactions[Type],"Expense",tblTransactions[Date],"&gt;="&amp;A16,tblTransactions[Date],"&lt;"&amp;EDATE(A16,1))</f>
        <v>0</v>
      </c>
      <c r="D16" s="23">
        <f>B16-C16</f>
        <v>0</v>
      </c>
      <c r="E16" s="29">
        <f>IFERROR(D16/B16,0)</f>
        <v>0</v>
      </c>
      <c r="F16" s="23">
        <f>SUM(tblBudget[Monthly Budget])</f>
        <v>6000</v>
      </c>
      <c r="G16" s="23">
        <f>F16-C16</f>
        <v>6000</v>
      </c>
    </row>
    <row r="17" spans="1:7" x14ac:dyDescent="0.25">
      <c r="A17" s="8"/>
      <c r="B17" s="8"/>
      <c r="C17" s="8"/>
      <c r="D17" s="8"/>
      <c r="E17" s="8"/>
      <c r="F17" s="8"/>
      <c r="G17" s="8"/>
    </row>
    <row r="18" spans="1:7" x14ac:dyDescent="0.25">
      <c r="A18" s="35" t="s">
        <v>163</v>
      </c>
      <c r="B18" s="36">
        <f>SUM(B5:B16)</f>
        <v>70200</v>
      </c>
      <c r="C18" s="36">
        <f>SUM(C5:C16)</f>
        <v>23735</v>
      </c>
      <c r="D18" s="36">
        <f>B18-C18</f>
        <v>46465</v>
      </c>
      <c r="E18" s="37">
        <f>IFERROR(D18/B18,0)</f>
        <v>0.66189458689458691</v>
      </c>
      <c r="F18" s="36">
        <f>SUM(F5:F16)</f>
        <v>72000</v>
      </c>
      <c r="G18" s="36">
        <f>F18-C18</f>
        <v>48265</v>
      </c>
    </row>
  </sheetData>
  <mergeCells count="1">
    <mergeCell ref="A1:G1"/>
  </mergeCells>
  <conditionalFormatting sqref="C5:C16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{23F715D1-6952-4967-B94B-0ABD896687FD}</x14:id>
        </ext>
      </extLst>
    </cfRule>
  </conditionalFormatting>
  <conditionalFormatting sqref="D5:D16">
    <cfRule type="dataBar" priority="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{D4965685-0A35-4731-BA79-488411940D82}</x14:id>
        </ext>
      </extLst>
    </cfRule>
  </conditionalFormatting>
  <pageMargins left="0.7" right="0.7" top="0.75" bottom="0.75" header="0.3" footer="0.3"/>
  <drawing r:id="rId1"/>
  <tableParts count="1">
    <tablePart r:id="rId2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23F715D1-6952-4967-B94B-0ABD896687FD}">
            <x14:dataBar minLength="0" maxLength="100" negativeBarColorSameAsPositive="1" axisPosition="none">
              <x14:cfvo type="min"/>
              <x14:cfvo type="max"/>
            </x14:dataBar>
          </x14:cfRule>
          <xm:sqref>C5:C16</xm:sqref>
        </x14:conditionalFormatting>
        <x14:conditionalFormatting xmlns:xm="http://schemas.microsoft.com/office/excel/2006/main">
          <x14:cfRule type="dataBar" id="{D4965685-0A35-4731-BA79-488411940D82}">
            <x14:dataBar minLength="0" maxLength="100" negativeBarColorSameAsPositive="1" axisPosition="none">
              <x14:cfvo type="min"/>
              <x14:cfvo type="max"/>
            </x14:dataBar>
          </x14:cfRule>
          <xm:sqref>D5:D16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7</vt:i4>
      </vt:variant>
    </vt:vector>
  </HeadingPairs>
  <TitlesOfParts>
    <vt:vector size="7" baseType="lpstr">
      <vt:lpstr>Dashboard</vt:lpstr>
      <vt:lpstr>Transactions</vt:lpstr>
      <vt:lpstr>Monthly Budget</vt:lpstr>
      <vt:lpstr>Categories</vt:lpstr>
      <vt:lpstr>Recurring Expenses</vt:lpstr>
      <vt:lpstr>Savings &amp; Goals</vt:lpstr>
      <vt:lpstr>Yearly Overview</vt:lpstr>
    </vt:vector>
  </TitlesOfParts>
  <Company>Luigi Lavazza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Giordano Mirko</dc:creator>
  <cp:lastModifiedBy>Giordano Mirko</cp:lastModifiedBy>
  <dcterms:created xsi:type="dcterms:W3CDTF">2026-09-25T07:41:48Z</dcterms:created>
  <dcterms:modified xsi:type="dcterms:W3CDTF">2026-09-25T08:35:47Z</dcterms:modified>
</cp:coreProperties>
</file>